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6.xml" ContentType="application/vnd.openxmlformats-officedocument.drawing+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drawings/drawing7.xml" ContentType="application/vnd.openxmlformats-officedocument.drawing+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comments2.xml" ContentType="application/vnd.openxmlformats-officedocument.spreadsheetml.comments+xml"/>
  <Override PartName="/xl/tables/table6.xml" ContentType="application/vnd.openxmlformats-officedocument.spreadsheetml.table+xml"/>
  <Override PartName="/xl/tables/table7.xml" ContentType="application/vnd.openxmlformats-officedocument.spreadsheetml.table+xml"/>
  <Override PartName="/xl/queryTables/queryTable5.xml" ContentType="application/vnd.openxmlformats-officedocument.spreadsheetml.queryTable+xml"/>
  <Override PartName="/xl/drawings/drawing8.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328" codeName="{E757BCB4-07E6-AE0B-56E0-F0EEF7A6E26C}"/>
  <workbookPr codeName="EstaPasta_de_trabalho" defaultThemeVersion="124226"/>
  <mc:AlternateContent xmlns:mc="http://schemas.openxmlformats.org/markup-compatibility/2006">
    <mc:Choice Requires="x15">
      <x15ac:absPath xmlns:x15ac="http://schemas.microsoft.com/office/spreadsheetml/2010/11/ac" url="https://rhimagnesita-my.sharepoint.com/personal/saulo_borges_rhimagnesita_com/Documents/Área de Trabalho/Atualização macro/"/>
    </mc:Choice>
  </mc:AlternateContent>
  <xr:revisionPtr revIDLastSave="18050" documentId="8_{4346C65C-BC4F-4F0A-B9D4-D07B8B3A6994}" xr6:coauthVersionLast="47" xr6:coauthVersionMax="47" xr10:uidLastSave="{0E23CE57-5680-4CC6-864A-8E086E397558}"/>
  <bookViews>
    <workbookView xWindow="13305" yWindow="-16320" windowWidth="29040" windowHeight="15840" tabRatio="664" firstSheet="2" activeTab="4" xr2:uid="{00000000-000D-0000-FFFF-FFFF00000000}"/>
  </bookViews>
  <sheets>
    <sheet name="Unidades" sheetId="12" state="hidden" r:id="rId1"/>
    <sheet name="Aplicação do Concreto" sheetId="13" state="hidden" r:id="rId2"/>
    <sheet name="Densidades" sheetId="1" r:id="rId3"/>
    <sheet name="Formatos" sheetId="4" r:id="rId4"/>
    <sheet name="Memória TOTAL" sheetId="26" r:id="rId5"/>
    <sheet name="Recomendadas TOTAL" sheetId="21" r:id="rId6"/>
    <sheet name="FRONT SHEET" sheetId="18" r:id="rId7"/>
    <sheet name="TOTAL" sheetId="10" r:id="rId8"/>
    <sheet name="OVERALL" sheetId="19" r:id="rId9"/>
    <sheet name="FILTER" sheetId="29" r:id="rId10"/>
    <sheet name="SAP_FINAL" sheetId="30" r:id="rId11"/>
    <sheet name="SAP_COMPILED" sheetId="28" r:id="rId12"/>
    <sheet name="ITEM_REFERENCE" sheetId="31" state="hidden" r:id="rId13"/>
    <sheet name="COMPILED" sheetId="27" state="hidden" r:id="rId14"/>
  </sheets>
  <functionGroups builtInGroupCount="19"/>
  <definedNames>
    <definedName name="_xlnm._FilterDatabase" localSheetId="2" hidden="1">Densidades!$A$1:$J$99</definedName>
    <definedName name="_xlnm.Print_Area" localSheetId="13">COMPILED!$A:$Y</definedName>
    <definedName name="_xlnm.Print_Area" localSheetId="6">'FRONT SHEET'!$A$1:$AA$22</definedName>
    <definedName name="_xlnm.Print_Area" localSheetId="4">'Memória TOTAL'!$A$1:$X$643</definedName>
    <definedName name="_xlnm.Print_Area" localSheetId="8">OVERALL!$A:$AA</definedName>
    <definedName name="_xlnm.Print_Area" localSheetId="7">TOTAL!$A:$AA</definedName>
    <definedName name="Classif_Descr">Tabela1[Descrição]</definedName>
    <definedName name="DadosExternos_1" localSheetId="9" hidden="1">FILTER!$A$1:$A$9</definedName>
    <definedName name="DadosExternos_1" localSheetId="12" hidden="1">ITEM_REFERENCE!$A$1:$A$38</definedName>
    <definedName name="DadosExternos_2" localSheetId="9" hidden="1">FILTER!$E$1:$E$31</definedName>
    <definedName name="DadosExternos_2" localSheetId="10" hidden="1">SAP_FINAL!$E$2:$J$3</definedName>
    <definedName name="DadosExternos_3" localSheetId="10" hidden="1">SAP_FINAL!$A$1:$A$967</definedName>
    <definedName name="_xlnm.Print_Titles" localSheetId="13">COMPILED!$1:$11</definedName>
    <definedName name="_xlnm.Print_Titles" localSheetId="6">'FRONT SHEET'!$1:$11</definedName>
    <definedName name="_xlnm.Print_Titles" localSheetId="8">OVERALL!$1:$11</definedName>
    <definedName name="_xlnm.Print_Titles" localSheetId="7">TOTAL!$1:$11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K1274" i="26" l="1"/>
  <c r="J1274" i="26"/>
  <c r="D1274" i="26"/>
  <c r="C1274" i="26"/>
  <c r="K1268" i="26"/>
  <c r="I1268" i="26"/>
  <c r="G1268" i="26" s="1"/>
  <c r="D1268" i="26"/>
  <c r="C1268" i="26"/>
  <c r="W1268" i="26" s="1"/>
  <c r="K1263" i="26"/>
  <c r="I1263" i="26"/>
  <c r="G1263" i="26" s="1"/>
  <c r="H1263" i="26"/>
  <c r="D1263" i="26"/>
  <c r="C1263" i="26"/>
  <c r="W1263" i="26" s="1"/>
  <c r="Q1258" i="26"/>
  <c r="E1258" i="26"/>
  <c r="X1256" i="26"/>
  <c r="X1255" i="26"/>
  <c r="V1255" i="26"/>
  <c r="K1255" i="26"/>
  <c r="J1255" i="26"/>
  <c r="I1255" i="26"/>
  <c r="H1255" i="26"/>
  <c r="G1255" i="26"/>
  <c r="F1255" i="26"/>
  <c r="E1255" i="26"/>
  <c r="P1258" i="26" s="1"/>
  <c r="D1255" i="26"/>
  <c r="C1255" i="26"/>
  <c r="W1255" i="26" s="1"/>
  <c r="L1254" i="26"/>
  <c r="K1254" i="26"/>
  <c r="J1254" i="26"/>
  <c r="I1254" i="26"/>
  <c r="H1254" i="26"/>
  <c r="G1254" i="26"/>
  <c r="F1254" i="26"/>
  <c r="E1254" i="26"/>
  <c r="D1254" i="26"/>
  <c r="C1254" i="26"/>
  <c r="X1252" i="26"/>
  <c r="E1257" i="26" s="1"/>
  <c r="V1251" i="26"/>
  <c r="P1251" i="26"/>
  <c r="K1251" i="26"/>
  <c r="J1251" i="26"/>
  <c r="I1251" i="26"/>
  <c r="H1251" i="26"/>
  <c r="G1251" i="26"/>
  <c r="D1251" i="26"/>
  <c r="C1251" i="26"/>
  <c r="W1251" i="26" s="1"/>
  <c r="B1250" i="26"/>
  <c r="T1247" i="26"/>
  <c r="K1243" i="26"/>
  <c r="J1243" i="26"/>
  <c r="D1243" i="26"/>
  <c r="C1243" i="26"/>
  <c r="C1247" i="26" s="1"/>
  <c r="B1242" i="26"/>
  <c r="G1237" i="26"/>
  <c r="G1238" i="26" s="1"/>
  <c r="G1239" i="26" s="1"/>
  <c r="T1239" i="26" s="1"/>
  <c r="V1239" i="26" s="1"/>
  <c r="K1236" i="26"/>
  <c r="K1237" i="26" s="1"/>
  <c r="K1238" i="26" s="1"/>
  <c r="K1239" i="26" s="1"/>
  <c r="J1236" i="26"/>
  <c r="J1237" i="26" s="1"/>
  <c r="J1238" i="26" s="1"/>
  <c r="J1239" i="26" s="1"/>
  <c r="I1236" i="26"/>
  <c r="I1237" i="26" s="1"/>
  <c r="I1238" i="26" s="1"/>
  <c r="I1239" i="26" s="1"/>
  <c r="H1236" i="26"/>
  <c r="H1237" i="26" s="1"/>
  <c r="H1238" i="26" s="1"/>
  <c r="H1239" i="26" s="1"/>
  <c r="G1236" i="26"/>
  <c r="F1236" i="26"/>
  <c r="F1237" i="26" s="1"/>
  <c r="F1238" i="26" s="1"/>
  <c r="F1239" i="26" s="1"/>
  <c r="E1236" i="26"/>
  <c r="E1237" i="26" s="1"/>
  <c r="E1238" i="26" s="1"/>
  <c r="E1239" i="26" s="1"/>
  <c r="D1236" i="26"/>
  <c r="C1236" i="26"/>
  <c r="W1236" i="26" s="1"/>
  <c r="B1235" i="26"/>
  <c r="V1232" i="26"/>
  <c r="T1232" i="26"/>
  <c r="V1231" i="26"/>
  <c r="T1231" i="26"/>
  <c r="N1230" i="26"/>
  <c r="J1230" i="26"/>
  <c r="E1230" i="26"/>
  <c r="N1229" i="26"/>
  <c r="J1229" i="26"/>
  <c r="H1229" i="26"/>
  <c r="H1230" i="26" s="1"/>
  <c r="K1228" i="26"/>
  <c r="K1229" i="26" s="1"/>
  <c r="K1230" i="26" s="1"/>
  <c r="J1228" i="26"/>
  <c r="I1228" i="26"/>
  <c r="I1229" i="26" s="1"/>
  <c r="I1230" i="26" s="1"/>
  <c r="H1228" i="26"/>
  <c r="G1228" i="26"/>
  <c r="G1229" i="26" s="1"/>
  <c r="G1230" i="26" s="1"/>
  <c r="F1228" i="26"/>
  <c r="F1229" i="26" s="1"/>
  <c r="F1230" i="26" s="1"/>
  <c r="E1228" i="26"/>
  <c r="E1229" i="26" s="1"/>
  <c r="D1228" i="26"/>
  <c r="C1228" i="26"/>
  <c r="W1228" i="26" s="1"/>
  <c r="B1227" i="26"/>
  <c r="K1222" i="26"/>
  <c r="I1222" i="26"/>
  <c r="H1222" i="26" s="1"/>
  <c r="F1222" i="26"/>
  <c r="D1222" i="26"/>
  <c r="C1222" i="26"/>
  <c r="W1222" i="26" s="1"/>
  <c r="K1217" i="26"/>
  <c r="I1217" i="26"/>
  <c r="H1217" i="26" s="1"/>
  <c r="D1217" i="26"/>
  <c r="C1217" i="26"/>
  <c r="W1217" i="26" s="1"/>
  <c r="D1186" i="26"/>
  <c r="D1187" i="26" s="1"/>
  <c r="D1188" i="26" s="1"/>
  <c r="D1189" i="26" s="1"/>
  <c r="D1190" i="26" s="1"/>
  <c r="D1191" i="26" s="1"/>
  <c r="D1192" i="26" s="1"/>
  <c r="D1193" i="26" s="1"/>
  <c r="D1194" i="26" s="1"/>
  <c r="D1195" i="26" s="1"/>
  <c r="D1196" i="26" s="1"/>
  <c r="D1197" i="26" s="1"/>
  <c r="D1198" i="26" s="1"/>
  <c r="D1199" i="26" s="1"/>
  <c r="D1200" i="26" s="1"/>
  <c r="D1201" i="26" s="1"/>
  <c r="D1202" i="26" s="1"/>
  <c r="D1203" i="26" s="1"/>
  <c r="D1204" i="26" s="1"/>
  <c r="D1205" i="26" s="1"/>
  <c r="D1206" i="26" s="1"/>
  <c r="D1207" i="26" s="1"/>
  <c r="D1208" i="26" s="1"/>
  <c r="D1209" i="26" s="1"/>
  <c r="D1210" i="26" s="1"/>
  <c r="D1211" i="26" s="1"/>
  <c r="D1212" i="26" s="1"/>
  <c r="D1213" i="26" s="1"/>
  <c r="D1214" i="26" s="1"/>
  <c r="O1168" i="26"/>
  <c r="O1169" i="26" s="1"/>
  <c r="O1170" i="26" s="1"/>
  <c r="O1171" i="26" s="1"/>
  <c r="O1172" i="26" s="1"/>
  <c r="O1173" i="26" s="1"/>
  <c r="O1174" i="26" s="1"/>
  <c r="O1175" i="26" s="1"/>
  <c r="O1176" i="26" s="1"/>
  <c r="O1177" i="26" s="1"/>
  <c r="O1178" i="26" s="1"/>
  <c r="O1179" i="26" s="1"/>
  <c r="O1180" i="26" s="1"/>
  <c r="O1181" i="26" s="1"/>
  <c r="O1182" i="26" s="1"/>
  <c r="O1183" i="26" s="1"/>
  <c r="O1184" i="26" s="1"/>
  <c r="O1185" i="26" s="1"/>
  <c r="O1186" i="26" s="1"/>
  <c r="O1187" i="26" s="1"/>
  <c r="O1188" i="26" s="1"/>
  <c r="O1189" i="26" s="1"/>
  <c r="O1190" i="26" s="1"/>
  <c r="O1191" i="26" s="1"/>
  <c r="O1192" i="26" s="1"/>
  <c r="O1193" i="26" s="1"/>
  <c r="O1194" i="26" s="1"/>
  <c r="O1195" i="26" s="1"/>
  <c r="O1196" i="26" s="1"/>
  <c r="O1197" i="26" s="1"/>
  <c r="O1198" i="26" s="1"/>
  <c r="O1199" i="26" s="1"/>
  <c r="O1200" i="26" s="1"/>
  <c r="O1201" i="26" s="1"/>
  <c r="O1202" i="26" s="1"/>
  <c r="O1203" i="26" s="1"/>
  <c r="O1204" i="26" s="1"/>
  <c r="O1205" i="26" s="1"/>
  <c r="O1206" i="26" s="1"/>
  <c r="O1207" i="26" s="1"/>
  <c r="O1208" i="26" s="1"/>
  <c r="O1209" i="26" s="1"/>
  <c r="O1210" i="26" s="1"/>
  <c r="O1211" i="26" s="1"/>
  <c r="O1212" i="26" s="1"/>
  <c r="O1213" i="26" s="1"/>
  <c r="O1214" i="26" s="1"/>
  <c r="I1168" i="26"/>
  <c r="I1169" i="26" s="1"/>
  <c r="I1170" i="26" s="1"/>
  <c r="I1171" i="26" s="1"/>
  <c r="I1172" i="26" s="1"/>
  <c r="I1173" i="26" s="1"/>
  <c r="I1174" i="26" s="1"/>
  <c r="I1175" i="26" s="1"/>
  <c r="I1176" i="26" s="1"/>
  <c r="I1177" i="26" s="1"/>
  <c r="I1178" i="26" s="1"/>
  <c r="I1179" i="26" s="1"/>
  <c r="I1180" i="26" s="1"/>
  <c r="I1181" i="26" s="1"/>
  <c r="I1182" i="26" s="1"/>
  <c r="I1183" i="26" s="1"/>
  <c r="I1184" i="26" s="1"/>
  <c r="I1185" i="26" s="1"/>
  <c r="I1186" i="26" s="1"/>
  <c r="I1187" i="26" s="1"/>
  <c r="I1188" i="26" s="1"/>
  <c r="I1189" i="26" s="1"/>
  <c r="I1190" i="26" s="1"/>
  <c r="I1191" i="26" s="1"/>
  <c r="I1192" i="26" s="1"/>
  <c r="I1193" i="26" s="1"/>
  <c r="I1194" i="26" s="1"/>
  <c r="I1195" i="26" s="1"/>
  <c r="I1196" i="26" s="1"/>
  <c r="I1197" i="26" s="1"/>
  <c r="I1198" i="26" s="1"/>
  <c r="I1199" i="26" s="1"/>
  <c r="I1200" i="26" s="1"/>
  <c r="I1201" i="26" s="1"/>
  <c r="I1202" i="26" s="1"/>
  <c r="I1203" i="26" s="1"/>
  <c r="I1204" i="26" s="1"/>
  <c r="I1205" i="26" s="1"/>
  <c r="I1206" i="26" s="1"/>
  <c r="I1207" i="26" s="1"/>
  <c r="I1208" i="26" s="1"/>
  <c r="I1209" i="26" s="1"/>
  <c r="I1210" i="26" s="1"/>
  <c r="I1211" i="26" s="1"/>
  <c r="I1212" i="26" s="1"/>
  <c r="I1213" i="26" s="1"/>
  <c r="I1214" i="26" s="1"/>
  <c r="D1167" i="26"/>
  <c r="D1168" i="26" s="1"/>
  <c r="D1169" i="26" s="1"/>
  <c r="D1170" i="26" s="1"/>
  <c r="D1171" i="26" s="1"/>
  <c r="D1172" i="26" s="1"/>
  <c r="D1173" i="26" s="1"/>
  <c r="D1174" i="26" s="1"/>
  <c r="D1175" i="26" s="1"/>
  <c r="D1176" i="26" s="1"/>
  <c r="D1177" i="26" s="1"/>
  <c r="D1178" i="26" s="1"/>
  <c r="D1179" i="26" s="1"/>
  <c r="D1180" i="26" s="1"/>
  <c r="D1181" i="26" s="1"/>
  <c r="D1182" i="26" s="1"/>
  <c r="D1183" i="26" s="1"/>
  <c r="D1184" i="26" s="1"/>
  <c r="D1185" i="26" s="1"/>
  <c r="O1166" i="26"/>
  <c r="O1167" i="26" s="1"/>
  <c r="D1166" i="26"/>
  <c r="I1165" i="26"/>
  <c r="I1166" i="26" s="1"/>
  <c r="I1167" i="26" s="1"/>
  <c r="H1165" i="26"/>
  <c r="H1166" i="26" s="1"/>
  <c r="H1167" i="26" s="1"/>
  <c r="H1168" i="26" s="1"/>
  <c r="H1169" i="26" s="1"/>
  <c r="H1170" i="26" s="1"/>
  <c r="H1171" i="26" s="1"/>
  <c r="H1172" i="26" s="1"/>
  <c r="H1173" i="26" s="1"/>
  <c r="H1174" i="26" s="1"/>
  <c r="H1175" i="26" s="1"/>
  <c r="H1176" i="26" s="1"/>
  <c r="H1177" i="26" s="1"/>
  <c r="H1178" i="26" s="1"/>
  <c r="H1179" i="26" s="1"/>
  <c r="H1180" i="26" s="1"/>
  <c r="H1181" i="26" s="1"/>
  <c r="H1182" i="26" s="1"/>
  <c r="H1183" i="26" s="1"/>
  <c r="H1184" i="26" s="1"/>
  <c r="H1185" i="26" s="1"/>
  <c r="H1186" i="26" s="1"/>
  <c r="H1187" i="26" s="1"/>
  <c r="H1188" i="26" s="1"/>
  <c r="H1189" i="26" s="1"/>
  <c r="H1190" i="26" s="1"/>
  <c r="H1191" i="26" s="1"/>
  <c r="H1192" i="26" s="1"/>
  <c r="H1193" i="26" s="1"/>
  <c r="H1194" i="26" s="1"/>
  <c r="H1195" i="26" s="1"/>
  <c r="H1196" i="26" s="1"/>
  <c r="H1197" i="26" s="1"/>
  <c r="H1198" i="26" s="1"/>
  <c r="H1199" i="26" s="1"/>
  <c r="H1200" i="26" s="1"/>
  <c r="H1201" i="26" s="1"/>
  <c r="H1202" i="26" s="1"/>
  <c r="H1203" i="26" s="1"/>
  <c r="H1204" i="26" s="1"/>
  <c r="H1205" i="26" s="1"/>
  <c r="H1206" i="26" s="1"/>
  <c r="H1207" i="26" s="1"/>
  <c r="H1208" i="26" s="1"/>
  <c r="H1209" i="26" s="1"/>
  <c r="H1210" i="26" s="1"/>
  <c r="H1211" i="26" s="1"/>
  <c r="H1212" i="26" s="1"/>
  <c r="H1213" i="26" s="1"/>
  <c r="H1214" i="26" s="1"/>
  <c r="D1165" i="26"/>
  <c r="C1165" i="26"/>
  <c r="K1158" i="26"/>
  <c r="J1158" i="26"/>
  <c r="I1158" i="26"/>
  <c r="D1158" i="26"/>
  <c r="C1158" i="26"/>
  <c r="L1157" i="26"/>
  <c r="K1157" i="26"/>
  <c r="J1157" i="26"/>
  <c r="I1157" i="26"/>
  <c r="H1157" i="26"/>
  <c r="G1157" i="26"/>
  <c r="F1157" i="26"/>
  <c r="E1157" i="26"/>
  <c r="D1157" i="26"/>
  <c r="C1157" i="26"/>
  <c r="X1155" i="26"/>
  <c r="V1154" i="26"/>
  <c r="P1154" i="26"/>
  <c r="K1154" i="26"/>
  <c r="J1154" i="26"/>
  <c r="I1154" i="26"/>
  <c r="D1154" i="26"/>
  <c r="C1154" i="26"/>
  <c r="W1154" i="26" s="1"/>
  <c r="B1153" i="26"/>
  <c r="K1148" i="26"/>
  <c r="I1148" i="26"/>
  <c r="F1148" i="26" s="1"/>
  <c r="E1148" i="26"/>
  <c r="D1148" i="26"/>
  <c r="C1148" i="26"/>
  <c r="W1148" i="26" s="1"/>
  <c r="K1143" i="26"/>
  <c r="I1143" i="26"/>
  <c r="F1143" i="26" s="1"/>
  <c r="G1143" i="26"/>
  <c r="E1143" i="26"/>
  <c r="D1143" i="26"/>
  <c r="C1143" i="26"/>
  <c r="W1143" i="26" s="1"/>
  <c r="B1139" i="26"/>
  <c r="K1133" i="26"/>
  <c r="J1133" i="26"/>
  <c r="I1133" i="26"/>
  <c r="D1133" i="26"/>
  <c r="C1133" i="26"/>
  <c r="L1132" i="26"/>
  <c r="K1132" i="26"/>
  <c r="J1132" i="26"/>
  <c r="I1132" i="26"/>
  <c r="H1132" i="26"/>
  <c r="G1132" i="26"/>
  <c r="F1132" i="26"/>
  <c r="E1132" i="26"/>
  <c r="D1132" i="26"/>
  <c r="C1132" i="26"/>
  <c r="X1130" i="26"/>
  <c r="V1129" i="26"/>
  <c r="T1129" i="26"/>
  <c r="Q1129" i="26"/>
  <c r="P1129" i="26"/>
  <c r="K1129" i="26"/>
  <c r="I1129" i="26"/>
  <c r="H1129" i="26"/>
  <c r="D1129" i="26"/>
  <c r="C1129" i="26"/>
  <c r="W1129" i="26" s="1"/>
  <c r="B1128" i="26"/>
  <c r="K1123" i="26"/>
  <c r="I1123" i="26"/>
  <c r="D1123" i="26"/>
  <c r="C1123" i="26"/>
  <c r="W1123" i="26" s="1"/>
  <c r="K1118" i="26"/>
  <c r="I1118" i="26"/>
  <c r="G1118" i="26" s="1"/>
  <c r="H1118" i="26"/>
  <c r="D1118" i="26"/>
  <c r="C1118" i="26"/>
  <c r="W1118" i="26" s="1"/>
  <c r="U1114" i="26"/>
  <c r="T1114" i="26"/>
  <c r="S1114" i="26"/>
  <c r="R1114" i="26"/>
  <c r="Q1114" i="26"/>
  <c r="P1114" i="26"/>
  <c r="N1114" i="26"/>
  <c r="M1114" i="26"/>
  <c r="L1114" i="26"/>
  <c r="C1114" i="26"/>
  <c r="U1113" i="26"/>
  <c r="T1113" i="26"/>
  <c r="S1113" i="26"/>
  <c r="R1113" i="26"/>
  <c r="Q1113" i="26"/>
  <c r="P1113" i="26"/>
  <c r="N1113" i="26"/>
  <c r="M1113" i="26"/>
  <c r="L1113" i="26"/>
  <c r="C1113" i="26"/>
  <c r="T1112" i="26"/>
  <c r="S1112" i="26"/>
  <c r="R1112" i="26"/>
  <c r="N1112" i="26"/>
  <c r="M1112" i="26"/>
  <c r="L1112" i="26"/>
  <c r="C1112" i="26"/>
  <c r="P1112" i="26" s="1"/>
  <c r="Q1111" i="26"/>
  <c r="P1111" i="26"/>
  <c r="M1111" i="26"/>
  <c r="C1111" i="26"/>
  <c r="U1110" i="26"/>
  <c r="T1110" i="26"/>
  <c r="R1110" i="26"/>
  <c r="P1110" i="26"/>
  <c r="N1110" i="26"/>
  <c r="M1110" i="26"/>
  <c r="L1110" i="26"/>
  <c r="C1110" i="26"/>
  <c r="U1109" i="26"/>
  <c r="S1109" i="26"/>
  <c r="Q1109" i="26"/>
  <c r="N1109" i="26"/>
  <c r="C1109" i="26"/>
  <c r="U1108" i="26"/>
  <c r="T1108" i="26"/>
  <c r="N1108" i="26"/>
  <c r="C1108" i="26"/>
  <c r="U1107" i="26"/>
  <c r="T1107" i="26"/>
  <c r="S1107" i="26"/>
  <c r="R1107" i="26"/>
  <c r="Q1107" i="26"/>
  <c r="N1107" i="26"/>
  <c r="M1107" i="26"/>
  <c r="L1107" i="26"/>
  <c r="C1107" i="26"/>
  <c r="P1107" i="26" s="1"/>
  <c r="U1106" i="26"/>
  <c r="T1106" i="26"/>
  <c r="S1106" i="26"/>
  <c r="R1106" i="26"/>
  <c r="Q1106" i="26"/>
  <c r="P1106" i="26"/>
  <c r="N1106" i="26"/>
  <c r="L1106" i="26"/>
  <c r="C1106" i="26"/>
  <c r="M1106" i="26" s="1"/>
  <c r="U1105" i="26"/>
  <c r="Q1105" i="26"/>
  <c r="P1105" i="26"/>
  <c r="M1105" i="26"/>
  <c r="C1105" i="26"/>
  <c r="T1104" i="26"/>
  <c r="Q1104" i="26"/>
  <c r="P1104" i="26"/>
  <c r="N1104" i="26"/>
  <c r="L1104" i="26"/>
  <c r="C1104" i="26"/>
  <c r="U1103" i="26"/>
  <c r="T1103" i="26"/>
  <c r="S1103" i="26"/>
  <c r="Q1103" i="26"/>
  <c r="N1103" i="26"/>
  <c r="M1103" i="26"/>
  <c r="C1103" i="26"/>
  <c r="U1102" i="26"/>
  <c r="T1102" i="26"/>
  <c r="S1102" i="26"/>
  <c r="R1102" i="26"/>
  <c r="Q1102" i="26"/>
  <c r="P1102" i="26"/>
  <c r="N1102" i="26"/>
  <c r="M1102" i="26"/>
  <c r="L1102" i="26"/>
  <c r="C1102" i="26"/>
  <c r="U1101" i="26"/>
  <c r="T1101" i="26"/>
  <c r="S1101" i="26"/>
  <c r="R1101" i="26"/>
  <c r="Q1101" i="26"/>
  <c r="P1101" i="26"/>
  <c r="L1101" i="26"/>
  <c r="C1101" i="26"/>
  <c r="M1101" i="26" s="1"/>
  <c r="T1100" i="26"/>
  <c r="S1100" i="26"/>
  <c r="R1100" i="26"/>
  <c r="Q1100" i="26"/>
  <c r="P1100" i="26"/>
  <c r="N1100" i="26"/>
  <c r="M1100" i="26"/>
  <c r="L1100" i="26"/>
  <c r="C1100" i="26"/>
  <c r="U1100" i="26" s="1"/>
  <c r="R1099" i="26"/>
  <c r="Q1099" i="26"/>
  <c r="P1099" i="26"/>
  <c r="N1099" i="26"/>
  <c r="L1099" i="26"/>
  <c r="C1099" i="26"/>
  <c r="U1098" i="26"/>
  <c r="Q1098" i="26"/>
  <c r="L1098" i="26"/>
  <c r="C1098" i="26"/>
  <c r="T1097" i="26"/>
  <c r="P1097" i="26"/>
  <c r="N1097" i="26"/>
  <c r="C1097" i="26"/>
  <c r="C1096" i="26"/>
  <c r="T1095" i="26"/>
  <c r="R1095" i="26"/>
  <c r="L1095" i="26"/>
  <c r="C1095" i="26"/>
  <c r="U1094" i="26"/>
  <c r="T1094" i="26"/>
  <c r="S1094" i="26"/>
  <c r="R1094" i="26"/>
  <c r="Q1094" i="26"/>
  <c r="P1094" i="26"/>
  <c r="N1094" i="26"/>
  <c r="M1094" i="26"/>
  <c r="L1094" i="26"/>
  <c r="C1094" i="26"/>
  <c r="U1093" i="26"/>
  <c r="T1093" i="26"/>
  <c r="C1093" i="26"/>
  <c r="P1092" i="26"/>
  <c r="C1092" i="26"/>
  <c r="U1091" i="26"/>
  <c r="T1091" i="26"/>
  <c r="S1091" i="26"/>
  <c r="Q1091" i="26"/>
  <c r="P1091" i="26"/>
  <c r="N1091" i="26"/>
  <c r="M1091" i="26"/>
  <c r="C1091" i="26"/>
  <c r="U1090" i="26"/>
  <c r="T1090" i="26"/>
  <c r="S1090" i="26"/>
  <c r="R1090" i="26"/>
  <c r="Q1090" i="26"/>
  <c r="P1090" i="26"/>
  <c r="N1090" i="26"/>
  <c r="M1090" i="26"/>
  <c r="L1090" i="26"/>
  <c r="C1090" i="26"/>
  <c r="R1089" i="26"/>
  <c r="Q1089" i="26"/>
  <c r="C1089" i="26"/>
  <c r="T1088" i="26"/>
  <c r="S1088" i="26"/>
  <c r="Q1088" i="26"/>
  <c r="C1088" i="26"/>
  <c r="U1087" i="26"/>
  <c r="S1087" i="26"/>
  <c r="M1087" i="26"/>
  <c r="C1087" i="26"/>
  <c r="U1086" i="26"/>
  <c r="T1086" i="26"/>
  <c r="S1086" i="26"/>
  <c r="R1086" i="26"/>
  <c r="Q1086" i="26"/>
  <c r="P1086" i="26"/>
  <c r="N1086" i="26"/>
  <c r="M1086" i="26"/>
  <c r="L1086" i="26"/>
  <c r="C1086" i="26"/>
  <c r="U1085" i="26"/>
  <c r="T1085" i="26"/>
  <c r="S1085" i="26"/>
  <c r="R1085" i="26"/>
  <c r="Q1085" i="26"/>
  <c r="P1085" i="26"/>
  <c r="N1085" i="26"/>
  <c r="L1085" i="26"/>
  <c r="C1085" i="26"/>
  <c r="M1085" i="26" s="1"/>
  <c r="T1084" i="26"/>
  <c r="S1084" i="26"/>
  <c r="R1084" i="26"/>
  <c r="Q1084" i="26"/>
  <c r="P1084" i="26"/>
  <c r="N1084" i="26"/>
  <c r="M1084" i="26"/>
  <c r="L1084" i="26"/>
  <c r="C1084" i="26"/>
  <c r="U1084" i="26" s="1"/>
  <c r="U1083" i="26"/>
  <c r="P1083" i="26"/>
  <c r="N1083" i="26"/>
  <c r="L1083" i="26"/>
  <c r="C1083" i="26"/>
  <c r="U1082" i="26"/>
  <c r="R1082" i="26"/>
  <c r="P1082" i="26"/>
  <c r="N1082" i="26"/>
  <c r="M1082" i="26"/>
  <c r="L1082" i="26"/>
  <c r="C1082" i="26"/>
  <c r="S1082" i="26" s="1"/>
  <c r="N1081" i="26"/>
  <c r="C1081" i="26"/>
  <c r="U1080" i="26"/>
  <c r="P1080" i="26"/>
  <c r="C1080" i="26"/>
  <c r="U1079" i="26"/>
  <c r="T1079" i="26"/>
  <c r="S1079" i="26"/>
  <c r="R1079" i="26"/>
  <c r="Q1079" i="26"/>
  <c r="N1079" i="26"/>
  <c r="L1079" i="26"/>
  <c r="C1079" i="26"/>
  <c r="P1079" i="26" s="1"/>
  <c r="U1078" i="26"/>
  <c r="T1078" i="26"/>
  <c r="S1078" i="26"/>
  <c r="R1078" i="26"/>
  <c r="Q1078" i="26"/>
  <c r="P1078" i="26"/>
  <c r="N1078" i="26"/>
  <c r="M1078" i="26"/>
  <c r="L1078" i="26"/>
  <c r="C1078" i="26"/>
  <c r="S1077" i="26"/>
  <c r="R1077" i="26"/>
  <c r="Q1077" i="26"/>
  <c r="P1077" i="26"/>
  <c r="L1077" i="26"/>
  <c r="C1077" i="26"/>
  <c r="U1076" i="26"/>
  <c r="S1076" i="26"/>
  <c r="Q1076" i="26"/>
  <c r="P1076" i="26"/>
  <c r="N1076" i="26"/>
  <c r="L1076" i="26"/>
  <c r="C1076" i="26"/>
  <c r="M1076" i="26" s="1"/>
  <c r="U1075" i="26"/>
  <c r="T1075" i="26"/>
  <c r="S1075" i="26"/>
  <c r="N1075" i="26"/>
  <c r="M1075" i="26"/>
  <c r="C1075" i="26"/>
  <c r="Q1075" i="26" s="1"/>
  <c r="U1074" i="26"/>
  <c r="T1074" i="26"/>
  <c r="S1074" i="26"/>
  <c r="R1074" i="26"/>
  <c r="Q1074" i="26"/>
  <c r="P1074" i="26"/>
  <c r="N1074" i="26"/>
  <c r="M1074" i="26"/>
  <c r="L1074" i="26"/>
  <c r="C1074" i="26"/>
  <c r="C1073" i="26"/>
  <c r="T1072" i="26"/>
  <c r="S1072" i="26"/>
  <c r="R1072" i="26"/>
  <c r="Q1072" i="26"/>
  <c r="P1072" i="26"/>
  <c r="N1072" i="26"/>
  <c r="L1072" i="26"/>
  <c r="C1072" i="26"/>
  <c r="U1072" i="26" s="1"/>
  <c r="U1071" i="26"/>
  <c r="S1071" i="26"/>
  <c r="R1071" i="26"/>
  <c r="Q1071" i="26"/>
  <c r="P1071" i="26"/>
  <c r="N1071" i="26"/>
  <c r="M1071" i="26"/>
  <c r="L1071" i="26"/>
  <c r="C1071" i="26"/>
  <c r="T1071" i="26" s="1"/>
  <c r="U1070" i="26"/>
  <c r="Q1070" i="26"/>
  <c r="C1070" i="26"/>
  <c r="M1069" i="26"/>
  <c r="C1069" i="26"/>
  <c r="U1068" i="26"/>
  <c r="T1068" i="26"/>
  <c r="R1068" i="26"/>
  <c r="P1068" i="26"/>
  <c r="N1068" i="26"/>
  <c r="M1068" i="26"/>
  <c r="L1068" i="26"/>
  <c r="C1068" i="26"/>
  <c r="S1068" i="26" s="1"/>
  <c r="T1067" i="26"/>
  <c r="S1067" i="26"/>
  <c r="L1067" i="26"/>
  <c r="C1067" i="26"/>
  <c r="C1066" i="26"/>
  <c r="S1065" i="26"/>
  <c r="Q1065" i="26"/>
  <c r="C1065" i="26"/>
  <c r="U1064" i="26"/>
  <c r="T1064" i="26"/>
  <c r="S1064" i="26"/>
  <c r="R1064" i="26"/>
  <c r="Q1064" i="26"/>
  <c r="P1064" i="26"/>
  <c r="X1059" i="26"/>
  <c r="S1059" i="26"/>
  <c r="R1059" i="26"/>
  <c r="Q1059" i="26"/>
  <c r="P1059" i="26"/>
  <c r="I1059" i="26"/>
  <c r="C1059" i="26"/>
  <c r="S1058" i="26"/>
  <c r="R1058" i="26"/>
  <c r="Q1058" i="26"/>
  <c r="P1058" i="26"/>
  <c r="L1058" i="26"/>
  <c r="K1058" i="26"/>
  <c r="J1058" i="26"/>
  <c r="E1058" i="26"/>
  <c r="D1058" i="26"/>
  <c r="S1057" i="26"/>
  <c r="R1057" i="26"/>
  <c r="Q1057" i="26"/>
  <c r="P1057" i="26"/>
  <c r="X1056" i="26"/>
  <c r="J1055" i="26" s="1"/>
  <c r="X1055" i="26"/>
  <c r="K1055" i="26"/>
  <c r="I1055" i="26"/>
  <c r="E1055" i="26"/>
  <c r="D1055" i="26"/>
  <c r="C1055" i="26"/>
  <c r="L1054" i="26"/>
  <c r="K1054" i="26"/>
  <c r="J1054" i="26"/>
  <c r="I1054" i="26"/>
  <c r="I1058" i="26" s="1"/>
  <c r="H1054" i="26"/>
  <c r="H1058" i="26" s="1"/>
  <c r="G1054" i="26"/>
  <c r="G1058" i="26" s="1"/>
  <c r="F1054" i="26"/>
  <c r="F1058" i="26" s="1"/>
  <c r="E1054" i="26"/>
  <c r="D1054" i="26"/>
  <c r="C1054" i="26"/>
  <c r="C1058" i="26" s="1"/>
  <c r="X1052" i="26"/>
  <c r="K1051" i="26"/>
  <c r="I1051" i="26"/>
  <c r="D1051" i="26"/>
  <c r="C1051" i="26"/>
  <c r="B1050" i="26"/>
  <c r="K1045" i="26"/>
  <c r="I1045" i="26"/>
  <c r="G1045" i="26" s="1"/>
  <c r="H1045" i="26"/>
  <c r="E1045" i="26"/>
  <c r="D1045" i="26"/>
  <c r="C1045" i="26"/>
  <c r="W1045" i="26" s="1"/>
  <c r="K1040" i="26"/>
  <c r="I1040" i="26"/>
  <c r="H1040" i="26" s="1"/>
  <c r="D1040" i="26"/>
  <c r="C1040" i="26"/>
  <c r="W1040" i="26" s="1"/>
  <c r="S991" i="26"/>
  <c r="S992" i="26" s="1"/>
  <c r="S993" i="26" s="1"/>
  <c r="S994" i="26" s="1"/>
  <c r="S995" i="26" s="1"/>
  <c r="S996" i="26" s="1"/>
  <c r="S997" i="26" s="1"/>
  <c r="S998" i="26" s="1"/>
  <c r="S999" i="26" s="1"/>
  <c r="S1000" i="26" s="1"/>
  <c r="S1001" i="26" s="1"/>
  <c r="S1002" i="26" s="1"/>
  <c r="S1003" i="26" s="1"/>
  <c r="S1004" i="26" s="1"/>
  <c r="S1005" i="26" s="1"/>
  <c r="S1006" i="26" s="1"/>
  <c r="S1007" i="26" s="1"/>
  <c r="S1008" i="26" s="1"/>
  <c r="S1009" i="26" s="1"/>
  <c r="S1010" i="26" s="1"/>
  <c r="S1011" i="26" s="1"/>
  <c r="S1012" i="26" s="1"/>
  <c r="S1013" i="26" s="1"/>
  <c r="S1014" i="26" s="1"/>
  <c r="S1015" i="26" s="1"/>
  <c r="S1016" i="26" s="1"/>
  <c r="S1017" i="26" s="1"/>
  <c r="S1018" i="26" s="1"/>
  <c r="S1019" i="26" s="1"/>
  <c r="S1020" i="26" s="1"/>
  <c r="S1021" i="26" s="1"/>
  <c r="S1022" i="26" s="1"/>
  <c r="S1023" i="26" s="1"/>
  <c r="S1024" i="26" s="1"/>
  <c r="S1025" i="26" s="1"/>
  <c r="S1026" i="26" s="1"/>
  <c r="S1027" i="26" s="1"/>
  <c r="S1028" i="26" s="1"/>
  <c r="S1029" i="26" s="1"/>
  <c r="S1030" i="26" s="1"/>
  <c r="S1031" i="26" s="1"/>
  <c r="S1032" i="26" s="1"/>
  <c r="S1033" i="26" s="1"/>
  <c r="S1034" i="26" s="1"/>
  <c r="S1035" i="26" s="1"/>
  <c r="S1036" i="26" s="1"/>
  <c r="O990" i="26"/>
  <c r="Q989" i="26"/>
  <c r="M989" i="26"/>
  <c r="M990" i="26" s="1"/>
  <c r="H989" i="26"/>
  <c r="G989" i="26"/>
  <c r="S988" i="26"/>
  <c r="S989" i="26" s="1"/>
  <c r="S990" i="26" s="1"/>
  <c r="Q988" i="26"/>
  <c r="J988" i="26" s="1"/>
  <c r="O988" i="26"/>
  <c r="O989" i="26" s="1"/>
  <c r="I989" i="26" s="1"/>
  <c r="M988" i="26"/>
  <c r="G988" i="26" s="1"/>
  <c r="K988" i="26"/>
  <c r="I988" i="26"/>
  <c r="H988" i="26"/>
  <c r="K987" i="26"/>
  <c r="J987" i="26"/>
  <c r="I987" i="26"/>
  <c r="H987" i="26"/>
  <c r="G987" i="26"/>
  <c r="C987" i="26"/>
  <c r="G983" i="26"/>
  <c r="R982" i="26"/>
  <c r="Q982" i="26"/>
  <c r="P982" i="26"/>
  <c r="O982" i="26"/>
  <c r="M982" i="26"/>
  <c r="G982" i="26"/>
  <c r="R981" i="26"/>
  <c r="Q981" i="26"/>
  <c r="P981" i="26"/>
  <c r="O981" i="26"/>
  <c r="N981" i="26"/>
  <c r="N987" i="26" s="1"/>
  <c r="T987" i="26" s="1"/>
  <c r="I981" i="26"/>
  <c r="H981" i="26" s="1"/>
  <c r="V961" i="26" s="1"/>
  <c r="W961" i="26" s="1"/>
  <c r="G981" i="26"/>
  <c r="G980" i="26"/>
  <c r="V979" i="26"/>
  <c r="U979" i="26"/>
  <c r="T979" i="26"/>
  <c r="S979" i="26"/>
  <c r="Q979" i="26"/>
  <c r="P979" i="26"/>
  <c r="O979" i="26"/>
  <c r="N979" i="26"/>
  <c r="L979" i="26"/>
  <c r="G979" i="26"/>
  <c r="V978" i="26"/>
  <c r="U978" i="26"/>
  <c r="T978" i="26"/>
  <c r="S978" i="26"/>
  <c r="Q978" i="26"/>
  <c r="P978" i="26"/>
  <c r="O978" i="26"/>
  <c r="N978" i="26"/>
  <c r="L978" i="26"/>
  <c r="G978" i="26"/>
  <c r="V977" i="26"/>
  <c r="U977" i="26"/>
  <c r="T977" i="26"/>
  <c r="S977" i="26"/>
  <c r="Q977" i="26"/>
  <c r="P977" i="26"/>
  <c r="O977" i="26"/>
  <c r="N977" i="26"/>
  <c r="L977" i="26"/>
  <c r="G977" i="26"/>
  <c r="V976" i="26"/>
  <c r="U976" i="26"/>
  <c r="T976" i="26"/>
  <c r="S976" i="26"/>
  <c r="Q976" i="26"/>
  <c r="P976" i="26"/>
  <c r="O976" i="26"/>
  <c r="N976" i="26"/>
  <c r="G976" i="26"/>
  <c r="V975" i="26"/>
  <c r="U975" i="26"/>
  <c r="O975" i="26"/>
  <c r="N975" i="26"/>
  <c r="S975" i="26" s="1"/>
  <c r="N982" i="26" s="1"/>
  <c r="G975" i="26"/>
  <c r="I975" i="26" s="1"/>
  <c r="I974" i="26"/>
  <c r="G974" i="26"/>
  <c r="I964" i="26"/>
  <c r="I968" i="26" s="1"/>
  <c r="H964" i="26"/>
  <c r="H968" i="26" s="1"/>
  <c r="I960" i="26"/>
  <c r="C960" i="26"/>
  <c r="C964" i="26" s="1"/>
  <c r="C968" i="26" s="1"/>
  <c r="G952" i="26"/>
  <c r="G956" i="26" s="1"/>
  <c r="G960" i="26" s="1"/>
  <c r="G964" i="26" s="1"/>
  <c r="G968" i="26" s="1"/>
  <c r="F952" i="26"/>
  <c r="F956" i="26" s="1"/>
  <c r="F960" i="26" s="1"/>
  <c r="F964" i="26" s="1"/>
  <c r="F968" i="26" s="1"/>
  <c r="I948" i="26"/>
  <c r="I952" i="26" s="1"/>
  <c r="I956" i="26" s="1"/>
  <c r="G948" i="26"/>
  <c r="X945" i="26"/>
  <c r="X942" i="26"/>
  <c r="X941" i="26"/>
  <c r="K940" i="26"/>
  <c r="K944" i="26" s="1"/>
  <c r="K948" i="26" s="1"/>
  <c r="K952" i="26" s="1"/>
  <c r="K956" i="26" s="1"/>
  <c r="K960" i="26" s="1"/>
  <c r="K964" i="26" s="1"/>
  <c r="K968" i="26" s="1"/>
  <c r="J940" i="26"/>
  <c r="J944" i="26" s="1"/>
  <c r="J948" i="26" s="1"/>
  <c r="J952" i="26" s="1"/>
  <c r="J956" i="26" s="1"/>
  <c r="J960" i="26" s="1"/>
  <c r="J964" i="26" s="1"/>
  <c r="J968" i="26" s="1"/>
  <c r="H940" i="26"/>
  <c r="H944" i="26" s="1"/>
  <c r="H948" i="26" s="1"/>
  <c r="H952" i="26" s="1"/>
  <c r="H956" i="26" s="1"/>
  <c r="H960" i="26" s="1"/>
  <c r="E940" i="26"/>
  <c r="E944" i="26" s="1"/>
  <c r="E948" i="26" s="1"/>
  <c r="E952" i="26" s="1"/>
  <c r="E956" i="26" s="1"/>
  <c r="E960" i="26" s="1"/>
  <c r="E964" i="26" s="1"/>
  <c r="E968" i="26" s="1"/>
  <c r="D940" i="26"/>
  <c r="D944" i="26" s="1"/>
  <c r="D948" i="26" s="1"/>
  <c r="D952" i="26" s="1"/>
  <c r="D956" i="26" s="1"/>
  <c r="D960" i="26" s="1"/>
  <c r="D964" i="26" s="1"/>
  <c r="D968" i="26" s="1"/>
  <c r="X938" i="26"/>
  <c r="J937" i="26" s="1"/>
  <c r="X937" i="26"/>
  <c r="K937" i="26"/>
  <c r="I937" i="26"/>
  <c r="H937" i="26"/>
  <c r="E937" i="26"/>
  <c r="D937" i="26"/>
  <c r="C937" i="26"/>
  <c r="L936" i="26"/>
  <c r="L940" i="26" s="1"/>
  <c r="L944" i="26" s="1"/>
  <c r="L948" i="26" s="1"/>
  <c r="L952" i="26" s="1"/>
  <c r="L956" i="26" s="1"/>
  <c r="L960" i="26" s="1"/>
  <c r="L964" i="26" s="1"/>
  <c r="L968" i="26" s="1"/>
  <c r="K936" i="26"/>
  <c r="J936" i="26"/>
  <c r="I936" i="26"/>
  <c r="I940" i="26" s="1"/>
  <c r="I944" i="26" s="1"/>
  <c r="H936" i="26"/>
  <c r="G936" i="26"/>
  <c r="G940" i="26" s="1"/>
  <c r="G944" i="26" s="1"/>
  <c r="F936" i="26"/>
  <c r="F940" i="26" s="1"/>
  <c r="F944" i="26" s="1"/>
  <c r="F948" i="26" s="1"/>
  <c r="E936" i="26"/>
  <c r="D936" i="26"/>
  <c r="C936" i="26"/>
  <c r="C940" i="26" s="1"/>
  <c r="C944" i="26" s="1"/>
  <c r="C948" i="26" s="1"/>
  <c r="C952" i="26" s="1"/>
  <c r="C956" i="26" s="1"/>
  <c r="X934" i="26"/>
  <c r="K933" i="26"/>
  <c r="I933" i="26"/>
  <c r="G933" i="26"/>
  <c r="F933" i="26"/>
  <c r="E933" i="26"/>
  <c r="D933" i="26"/>
  <c r="C933" i="26"/>
  <c r="B932" i="26"/>
  <c r="K927" i="26"/>
  <c r="I927" i="26"/>
  <c r="G927" i="26" s="1"/>
  <c r="D927" i="26"/>
  <c r="C927" i="26"/>
  <c r="W927" i="26" s="1"/>
  <c r="K922" i="26"/>
  <c r="I922" i="26"/>
  <c r="H922" i="26" s="1"/>
  <c r="D922" i="26"/>
  <c r="C922" i="26"/>
  <c r="W922" i="26" s="1"/>
  <c r="O877" i="26"/>
  <c r="O878" i="26" s="1"/>
  <c r="O879" i="26" s="1"/>
  <c r="O880" i="26" s="1"/>
  <c r="O881" i="26" s="1"/>
  <c r="O882" i="26" s="1"/>
  <c r="O883" i="26" s="1"/>
  <c r="O884" i="26" s="1"/>
  <c r="O885" i="26" s="1"/>
  <c r="O886" i="26" s="1"/>
  <c r="O887" i="26" s="1"/>
  <c r="O888" i="26" s="1"/>
  <c r="O889" i="26" s="1"/>
  <c r="O890" i="26" s="1"/>
  <c r="O891" i="26" s="1"/>
  <c r="O892" i="26" s="1"/>
  <c r="O893" i="26" s="1"/>
  <c r="O894" i="26" s="1"/>
  <c r="O895" i="26" s="1"/>
  <c r="O896" i="26" s="1"/>
  <c r="O897" i="26" s="1"/>
  <c r="O898" i="26" s="1"/>
  <c r="O899" i="26" s="1"/>
  <c r="O900" i="26" s="1"/>
  <c r="O901" i="26" s="1"/>
  <c r="O902" i="26" s="1"/>
  <c r="O903" i="26" s="1"/>
  <c r="O904" i="26" s="1"/>
  <c r="O905" i="26" s="1"/>
  <c r="O906" i="26" s="1"/>
  <c r="O907" i="26" s="1"/>
  <c r="O908" i="26" s="1"/>
  <c r="O909" i="26" s="1"/>
  <c r="O910" i="26" s="1"/>
  <c r="O911" i="26" s="1"/>
  <c r="O912" i="26" s="1"/>
  <c r="O913" i="26" s="1"/>
  <c r="O914" i="26" s="1"/>
  <c r="O915" i="26" s="1"/>
  <c r="O916" i="26" s="1"/>
  <c r="O917" i="26" s="1"/>
  <c r="O918" i="26" s="1"/>
  <c r="O919" i="26" s="1"/>
  <c r="O875" i="26"/>
  <c r="O876" i="26" s="1"/>
  <c r="K874" i="26"/>
  <c r="K875" i="26" s="1"/>
  <c r="K876" i="26" s="1"/>
  <c r="K877" i="26" s="1"/>
  <c r="K878" i="26" s="1"/>
  <c r="K879" i="26" s="1"/>
  <c r="K880" i="26" s="1"/>
  <c r="K881" i="26" s="1"/>
  <c r="K882" i="26" s="1"/>
  <c r="K883" i="26" s="1"/>
  <c r="K884" i="26" s="1"/>
  <c r="K885" i="26" s="1"/>
  <c r="K886" i="26" s="1"/>
  <c r="K887" i="26" s="1"/>
  <c r="K888" i="26" s="1"/>
  <c r="K889" i="26" s="1"/>
  <c r="K890" i="26" s="1"/>
  <c r="K891" i="26" s="1"/>
  <c r="K892" i="26" s="1"/>
  <c r="K893" i="26" s="1"/>
  <c r="K894" i="26" s="1"/>
  <c r="K895" i="26" s="1"/>
  <c r="K896" i="26" s="1"/>
  <c r="K897" i="26" s="1"/>
  <c r="K898" i="26" s="1"/>
  <c r="K899" i="26" s="1"/>
  <c r="K900" i="26" s="1"/>
  <c r="K901" i="26" s="1"/>
  <c r="K902" i="26" s="1"/>
  <c r="K903" i="26" s="1"/>
  <c r="K904" i="26" s="1"/>
  <c r="K905" i="26" s="1"/>
  <c r="K906" i="26" s="1"/>
  <c r="K907" i="26" s="1"/>
  <c r="K908" i="26" s="1"/>
  <c r="K909" i="26" s="1"/>
  <c r="K910" i="26" s="1"/>
  <c r="K911" i="26" s="1"/>
  <c r="K912" i="26" s="1"/>
  <c r="K913" i="26" s="1"/>
  <c r="K914" i="26" s="1"/>
  <c r="K915" i="26" s="1"/>
  <c r="K916" i="26" s="1"/>
  <c r="K917" i="26" s="1"/>
  <c r="K918" i="26" s="1"/>
  <c r="K919" i="26" s="1"/>
  <c r="D873" i="26"/>
  <c r="D874" i="26" s="1"/>
  <c r="D875" i="26" s="1"/>
  <c r="D876" i="26" s="1"/>
  <c r="D877" i="26" s="1"/>
  <c r="D878" i="26" s="1"/>
  <c r="D879" i="26" s="1"/>
  <c r="D880" i="26" s="1"/>
  <c r="D881" i="26" s="1"/>
  <c r="D882" i="26" s="1"/>
  <c r="D883" i="26" s="1"/>
  <c r="D884" i="26" s="1"/>
  <c r="D885" i="26" s="1"/>
  <c r="D886" i="26" s="1"/>
  <c r="D887" i="26" s="1"/>
  <c r="D888" i="26" s="1"/>
  <c r="D889" i="26" s="1"/>
  <c r="D890" i="26" s="1"/>
  <c r="D891" i="26" s="1"/>
  <c r="D892" i="26" s="1"/>
  <c r="D893" i="26" s="1"/>
  <c r="D894" i="26" s="1"/>
  <c r="D895" i="26" s="1"/>
  <c r="D896" i="26" s="1"/>
  <c r="D897" i="26" s="1"/>
  <c r="D898" i="26" s="1"/>
  <c r="D899" i="26" s="1"/>
  <c r="D900" i="26" s="1"/>
  <c r="D901" i="26" s="1"/>
  <c r="D902" i="26" s="1"/>
  <c r="D903" i="26" s="1"/>
  <c r="D904" i="26" s="1"/>
  <c r="D905" i="26" s="1"/>
  <c r="D906" i="26" s="1"/>
  <c r="D907" i="26" s="1"/>
  <c r="D908" i="26" s="1"/>
  <c r="D909" i="26" s="1"/>
  <c r="D910" i="26" s="1"/>
  <c r="D911" i="26" s="1"/>
  <c r="D912" i="26" s="1"/>
  <c r="D913" i="26" s="1"/>
  <c r="D914" i="26" s="1"/>
  <c r="D915" i="26" s="1"/>
  <c r="D916" i="26" s="1"/>
  <c r="D917" i="26" s="1"/>
  <c r="D918" i="26" s="1"/>
  <c r="D919" i="26" s="1"/>
  <c r="O871" i="26"/>
  <c r="O872" i="26" s="1"/>
  <c r="O873" i="26" s="1"/>
  <c r="O874" i="26" s="1"/>
  <c r="K870" i="26"/>
  <c r="K871" i="26" s="1"/>
  <c r="K872" i="26" s="1"/>
  <c r="K873" i="26" s="1"/>
  <c r="J870" i="26"/>
  <c r="J871" i="26" s="1"/>
  <c r="J872" i="26" s="1"/>
  <c r="J873" i="26" s="1"/>
  <c r="J874" i="26" s="1"/>
  <c r="J875" i="26" s="1"/>
  <c r="J876" i="26" s="1"/>
  <c r="J877" i="26" s="1"/>
  <c r="J878" i="26" s="1"/>
  <c r="J879" i="26" s="1"/>
  <c r="J880" i="26" s="1"/>
  <c r="J881" i="26" s="1"/>
  <c r="J882" i="26" s="1"/>
  <c r="J883" i="26" s="1"/>
  <c r="J884" i="26" s="1"/>
  <c r="J885" i="26" s="1"/>
  <c r="J886" i="26" s="1"/>
  <c r="J887" i="26" s="1"/>
  <c r="J888" i="26" s="1"/>
  <c r="J889" i="26" s="1"/>
  <c r="J890" i="26" s="1"/>
  <c r="J891" i="26" s="1"/>
  <c r="J892" i="26" s="1"/>
  <c r="J893" i="26" s="1"/>
  <c r="J894" i="26" s="1"/>
  <c r="J895" i="26" s="1"/>
  <c r="J896" i="26" s="1"/>
  <c r="J897" i="26" s="1"/>
  <c r="J898" i="26" s="1"/>
  <c r="J899" i="26" s="1"/>
  <c r="J900" i="26" s="1"/>
  <c r="J901" i="26" s="1"/>
  <c r="J902" i="26" s="1"/>
  <c r="J903" i="26" s="1"/>
  <c r="J904" i="26" s="1"/>
  <c r="J905" i="26" s="1"/>
  <c r="J906" i="26" s="1"/>
  <c r="J907" i="26" s="1"/>
  <c r="J908" i="26" s="1"/>
  <c r="J909" i="26" s="1"/>
  <c r="J910" i="26" s="1"/>
  <c r="J911" i="26" s="1"/>
  <c r="J912" i="26" s="1"/>
  <c r="J913" i="26" s="1"/>
  <c r="J914" i="26" s="1"/>
  <c r="J915" i="26" s="1"/>
  <c r="J916" i="26" s="1"/>
  <c r="J917" i="26" s="1"/>
  <c r="J918" i="26" s="1"/>
  <c r="J919" i="26" s="1"/>
  <c r="D870" i="26"/>
  <c r="D871" i="26" s="1"/>
  <c r="D872" i="26" s="1"/>
  <c r="C870" i="26"/>
  <c r="E866" i="26"/>
  <c r="X864" i="26"/>
  <c r="X863" i="26"/>
  <c r="W863" i="26"/>
  <c r="V863" i="26"/>
  <c r="K863" i="26"/>
  <c r="J863" i="26"/>
  <c r="I863" i="26"/>
  <c r="D863" i="26"/>
  <c r="C863" i="26"/>
  <c r="L862" i="26"/>
  <c r="K862" i="26"/>
  <c r="J862" i="26"/>
  <c r="I862" i="26"/>
  <c r="H862" i="26"/>
  <c r="G862" i="26"/>
  <c r="F862" i="26"/>
  <c r="E862" i="26"/>
  <c r="D862" i="26"/>
  <c r="C862" i="26"/>
  <c r="X860" i="26"/>
  <c r="E865" i="26" s="1"/>
  <c r="F859" i="26" s="1"/>
  <c r="F870" i="26" s="1"/>
  <c r="F871" i="26" s="1"/>
  <c r="V859" i="26"/>
  <c r="K859" i="26"/>
  <c r="J859" i="26"/>
  <c r="I859" i="26"/>
  <c r="D859" i="26"/>
  <c r="C859" i="26"/>
  <c r="W859" i="26" s="1"/>
  <c r="B858" i="26"/>
  <c r="K853" i="26"/>
  <c r="I853" i="26"/>
  <c r="H853" i="26" s="1"/>
  <c r="D853" i="26"/>
  <c r="C853" i="26"/>
  <c r="W853" i="26" s="1"/>
  <c r="K848" i="26"/>
  <c r="I848" i="26"/>
  <c r="H848" i="26" s="1"/>
  <c r="D848" i="26"/>
  <c r="C848" i="26"/>
  <c r="W848" i="26" s="1"/>
  <c r="O796" i="26"/>
  <c r="O797" i="26" s="1"/>
  <c r="O798" i="26" s="1"/>
  <c r="O799" i="26" s="1"/>
  <c r="O800" i="26" s="1"/>
  <c r="O801" i="26" s="1"/>
  <c r="O802" i="26" s="1"/>
  <c r="O803" i="26" s="1"/>
  <c r="O804" i="26" s="1"/>
  <c r="O805" i="26" s="1"/>
  <c r="O806" i="26" s="1"/>
  <c r="O807" i="26" s="1"/>
  <c r="O808" i="26" s="1"/>
  <c r="O809" i="26" s="1"/>
  <c r="O810" i="26" s="1"/>
  <c r="O811" i="26" s="1"/>
  <c r="O812" i="26" s="1"/>
  <c r="O813" i="26" s="1"/>
  <c r="O814" i="26" s="1"/>
  <c r="O815" i="26" s="1"/>
  <c r="O816" i="26" s="1"/>
  <c r="O817" i="26" s="1"/>
  <c r="O818" i="26" s="1"/>
  <c r="O819" i="26" s="1"/>
  <c r="O820" i="26" s="1"/>
  <c r="O821" i="26" s="1"/>
  <c r="O822" i="26" s="1"/>
  <c r="O823" i="26" s="1"/>
  <c r="O824" i="26" s="1"/>
  <c r="O825" i="26" s="1"/>
  <c r="O826" i="26" s="1"/>
  <c r="O827" i="26" s="1"/>
  <c r="O828" i="26" s="1"/>
  <c r="O829" i="26" s="1"/>
  <c r="O830" i="26" s="1"/>
  <c r="O831" i="26" s="1"/>
  <c r="O832" i="26" s="1"/>
  <c r="O833" i="26" s="1"/>
  <c r="O834" i="26" s="1"/>
  <c r="O835" i="26" s="1"/>
  <c r="O836" i="26" s="1"/>
  <c r="O837" i="26" s="1"/>
  <c r="O838" i="26" s="1"/>
  <c r="O839" i="26" s="1"/>
  <c r="O840" i="26" s="1"/>
  <c r="O841" i="26" s="1"/>
  <c r="O842" i="26" s="1"/>
  <c r="O843" i="26" s="1"/>
  <c r="O844" i="26" s="1"/>
  <c r="E792" i="26"/>
  <c r="X790" i="26"/>
  <c r="G789" i="26" s="1"/>
  <c r="X789" i="26"/>
  <c r="C789" i="26" s="1"/>
  <c r="W789" i="26" s="1"/>
  <c r="V789" i="26"/>
  <c r="K789" i="26"/>
  <c r="J789" i="26"/>
  <c r="H789" i="26"/>
  <c r="F789" i="26"/>
  <c r="Q792" i="26" s="1"/>
  <c r="E789" i="26"/>
  <c r="P792" i="26" s="1"/>
  <c r="D789" i="26"/>
  <c r="L788" i="26"/>
  <c r="K788" i="26"/>
  <c r="J788" i="26"/>
  <c r="I788" i="26"/>
  <c r="H788" i="26"/>
  <c r="G788" i="26"/>
  <c r="F788" i="26"/>
  <c r="E788" i="26"/>
  <c r="D788" i="26"/>
  <c r="C788" i="26"/>
  <c r="X786" i="26"/>
  <c r="E791" i="26" s="1"/>
  <c r="V785" i="26"/>
  <c r="P785" i="26"/>
  <c r="Q785" i="26" s="1"/>
  <c r="K785" i="26"/>
  <c r="I785" i="26"/>
  <c r="D785" i="26"/>
  <c r="C785" i="26"/>
  <c r="W785" i="26" s="1"/>
  <c r="B784" i="26"/>
  <c r="K779" i="26"/>
  <c r="I779" i="26"/>
  <c r="E779" i="26" s="1"/>
  <c r="G779" i="26"/>
  <c r="D779" i="26"/>
  <c r="C779" i="26"/>
  <c r="W779" i="26" s="1"/>
  <c r="K774" i="26"/>
  <c r="I774" i="26"/>
  <c r="E774" i="26" s="1"/>
  <c r="D774" i="26"/>
  <c r="C774" i="26"/>
  <c r="W774" i="26" s="1"/>
  <c r="B770" i="26"/>
  <c r="E767" i="26"/>
  <c r="X765" i="26"/>
  <c r="G764" i="26" s="1"/>
  <c r="X764" i="26"/>
  <c r="D764" i="26" s="1"/>
  <c r="V764" i="26"/>
  <c r="J764" i="26"/>
  <c r="I764" i="26"/>
  <c r="H764" i="26"/>
  <c r="F764" i="26"/>
  <c r="Q767" i="26" s="1"/>
  <c r="E764" i="26"/>
  <c r="P767" i="26" s="1"/>
  <c r="L763" i="26"/>
  <c r="K763" i="26"/>
  <c r="J763" i="26"/>
  <c r="I763" i="26"/>
  <c r="H763" i="26"/>
  <c r="G763" i="26"/>
  <c r="F763" i="26"/>
  <c r="E763" i="26"/>
  <c r="D763" i="26"/>
  <c r="C763" i="26"/>
  <c r="X761" i="26"/>
  <c r="E766" i="26" s="1"/>
  <c r="V760" i="26"/>
  <c r="T760" i="26"/>
  <c r="Q760" i="26"/>
  <c r="P760" i="26"/>
  <c r="K760" i="26"/>
  <c r="J760" i="26"/>
  <c r="I760" i="26"/>
  <c r="G760" i="26"/>
  <c r="D760" i="26"/>
  <c r="C760" i="26"/>
  <c r="W760" i="26" s="1"/>
  <c r="B759" i="26"/>
  <c r="K754" i="26"/>
  <c r="I754" i="26"/>
  <c r="G754" i="26" s="1"/>
  <c r="H754" i="26"/>
  <c r="D754" i="26"/>
  <c r="C754" i="26"/>
  <c r="W754" i="26" s="1"/>
  <c r="K749" i="26"/>
  <c r="I749" i="26"/>
  <c r="H749" i="26"/>
  <c r="G749" i="26"/>
  <c r="X750" i="26" s="1"/>
  <c r="J749" i="26" s="1"/>
  <c r="F749" i="26"/>
  <c r="E749" i="26"/>
  <c r="D749" i="26"/>
  <c r="C749" i="26"/>
  <c r="W749" i="26" s="1"/>
  <c r="V746" i="26"/>
  <c r="T746" i="26"/>
  <c r="V745" i="26"/>
  <c r="T745" i="26"/>
  <c r="G744" i="26"/>
  <c r="G745" i="26" s="1"/>
  <c r="N743" i="26"/>
  <c r="N744" i="26" s="1"/>
  <c r="J743" i="26"/>
  <c r="J744" i="26" s="1"/>
  <c r="I743" i="26"/>
  <c r="I744" i="26" s="1"/>
  <c r="G743" i="26"/>
  <c r="W742" i="26"/>
  <c r="K742" i="26"/>
  <c r="K743" i="26" s="1"/>
  <c r="K744" i="26" s="1"/>
  <c r="J742" i="26"/>
  <c r="I742" i="26"/>
  <c r="H742" i="26"/>
  <c r="H743" i="26" s="1"/>
  <c r="H744" i="26" s="1"/>
  <c r="G742" i="26"/>
  <c r="R754" i="26" s="1"/>
  <c r="T754" i="26" s="1"/>
  <c r="F742" i="26"/>
  <c r="F743" i="26" s="1"/>
  <c r="F744" i="26" s="1"/>
  <c r="E742" i="26"/>
  <c r="E743" i="26" s="1"/>
  <c r="E744" i="26" s="1"/>
  <c r="D742" i="26"/>
  <c r="C742" i="26"/>
  <c r="B741" i="26"/>
  <c r="V738" i="26"/>
  <c r="M738" i="26"/>
  <c r="V737" i="26"/>
  <c r="K734" i="26"/>
  <c r="J734" i="26"/>
  <c r="D734" i="26"/>
  <c r="C734" i="26"/>
  <c r="B733" i="26"/>
  <c r="Q729" i="26"/>
  <c r="S729" i="26" s="1"/>
  <c r="T729" i="26" s="1"/>
  <c r="K728" i="26"/>
  <c r="J728" i="26"/>
  <c r="H728" i="26"/>
  <c r="G728" i="26"/>
  <c r="F728" i="26"/>
  <c r="E728" i="26"/>
  <c r="D728" i="26"/>
  <c r="C728" i="26"/>
  <c r="K723" i="26"/>
  <c r="J723" i="26"/>
  <c r="D723" i="26"/>
  <c r="C723" i="26"/>
  <c r="K719" i="26"/>
  <c r="J719" i="26"/>
  <c r="D719" i="26"/>
  <c r="C719" i="26"/>
  <c r="T716" i="26"/>
  <c r="V716" i="26" s="1"/>
  <c r="M716" i="26"/>
  <c r="T715" i="26"/>
  <c r="V715" i="26" s="1"/>
  <c r="M715" i="26"/>
  <c r="T714" i="26"/>
  <c r="V714" i="26" s="1"/>
  <c r="W711" i="26"/>
  <c r="W719" i="26" s="1"/>
  <c r="W723" i="26" s="1"/>
  <c r="K711" i="26"/>
  <c r="J711" i="26"/>
  <c r="D711" i="26"/>
  <c r="C711" i="26"/>
  <c r="B710" i="26"/>
  <c r="T707" i="26"/>
  <c r="V707" i="26" s="1"/>
  <c r="M707" i="26"/>
  <c r="V706" i="26"/>
  <c r="T706" i="26"/>
  <c r="M706" i="26"/>
  <c r="V705" i="26"/>
  <c r="T705" i="26"/>
  <c r="K702" i="26"/>
  <c r="J702" i="26"/>
  <c r="D702" i="26"/>
  <c r="C702" i="26"/>
  <c r="W702" i="26" s="1"/>
  <c r="B701" i="26"/>
  <c r="X696" i="26"/>
  <c r="J695" i="26" s="1"/>
  <c r="K695" i="26"/>
  <c r="I695" i="26"/>
  <c r="H695" i="26"/>
  <c r="G695" i="26"/>
  <c r="F695" i="26"/>
  <c r="D695" i="26"/>
  <c r="C695" i="26"/>
  <c r="T688" i="26"/>
  <c r="T687" i="26"/>
  <c r="K684" i="26"/>
  <c r="I684" i="26"/>
  <c r="F684" i="26"/>
  <c r="E684" i="26"/>
  <c r="H684" i="26" s="1"/>
  <c r="D684" i="26"/>
  <c r="C684" i="26"/>
  <c r="C687" i="26" s="1"/>
  <c r="C688" i="26" s="1"/>
  <c r="B683" i="26"/>
  <c r="T680" i="26"/>
  <c r="T679" i="26"/>
  <c r="C679" i="26"/>
  <c r="C680" i="26" s="1"/>
  <c r="W676" i="26"/>
  <c r="K676" i="26"/>
  <c r="E676" i="26"/>
  <c r="H676" i="26" s="1"/>
  <c r="D676" i="26"/>
  <c r="C676" i="26"/>
  <c r="B675" i="26"/>
  <c r="K670" i="26"/>
  <c r="I670" i="26"/>
  <c r="G670" i="26" s="1"/>
  <c r="D670" i="26"/>
  <c r="C670" i="26"/>
  <c r="B669" i="26"/>
  <c r="K665" i="26"/>
  <c r="I665" i="26"/>
  <c r="G665" i="26" s="1"/>
  <c r="H665" i="26"/>
  <c r="D665" i="26"/>
  <c r="C665" i="26"/>
  <c r="B664" i="26"/>
  <c r="K660" i="26"/>
  <c r="I660" i="26"/>
  <c r="E660" i="26" s="1"/>
  <c r="D660" i="26"/>
  <c r="C660" i="26"/>
  <c r="W660" i="26" s="1"/>
  <c r="V657" i="26"/>
  <c r="T657" i="26"/>
  <c r="F657" i="26"/>
  <c r="V656" i="26"/>
  <c r="T656" i="26"/>
  <c r="N655" i="26"/>
  <c r="N656" i="26" s="1"/>
  <c r="F655" i="26"/>
  <c r="F656" i="26" s="1"/>
  <c r="N654" i="26"/>
  <c r="H654" i="26"/>
  <c r="H655" i="26" s="1"/>
  <c r="F654" i="26"/>
  <c r="K653" i="26"/>
  <c r="K654" i="26" s="1"/>
  <c r="K655" i="26" s="1"/>
  <c r="J653" i="26"/>
  <c r="J654" i="26" s="1"/>
  <c r="J655" i="26" s="1"/>
  <c r="I653" i="26"/>
  <c r="I654" i="26" s="1"/>
  <c r="I655" i="26" s="1"/>
  <c r="H653" i="26"/>
  <c r="G653" i="26"/>
  <c r="G654" i="26" s="1"/>
  <c r="G655" i="26" s="1"/>
  <c r="F653" i="26"/>
  <c r="E653" i="26"/>
  <c r="E654" i="26" s="1"/>
  <c r="E655" i="26" s="1"/>
  <c r="D653" i="26"/>
  <c r="C653" i="26"/>
  <c r="W653" i="26" s="1"/>
  <c r="B652" i="26"/>
  <c r="U339" i="26"/>
  <c r="V339" i="26"/>
  <c r="T340" i="26"/>
  <c r="T341" i="26"/>
  <c r="T342" i="26"/>
  <c r="T343" i="26"/>
  <c r="S343" i="26"/>
  <c r="S342" i="26"/>
  <c r="S341" i="26"/>
  <c r="R421" i="26"/>
  <c r="S421" i="26"/>
  <c r="K1231" i="26" l="1"/>
  <c r="K1232" i="26"/>
  <c r="T665" i="26"/>
  <c r="V665" i="26" s="1"/>
  <c r="W665" i="26" s="1"/>
  <c r="T660" i="26"/>
  <c r="V660" i="26" s="1"/>
  <c r="G774" i="26"/>
  <c r="F1045" i="26"/>
  <c r="G1148" i="26"/>
  <c r="F774" i="26"/>
  <c r="F670" i="26"/>
  <c r="T670" i="26"/>
  <c r="V670" i="26" s="1"/>
  <c r="W670" i="26" s="1"/>
  <c r="H670" i="26"/>
  <c r="H774" i="26"/>
  <c r="H1148" i="26"/>
  <c r="X1149" i="26" s="1"/>
  <c r="J1148" i="26" s="1"/>
  <c r="W734" i="26"/>
  <c r="H1268" i="26"/>
  <c r="E665" i="26"/>
  <c r="F665" i="26"/>
  <c r="X666" i="26" s="1"/>
  <c r="J665" i="26" s="1"/>
  <c r="F922" i="26"/>
  <c r="F1040" i="26"/>
  <c r="H1143" i="26"/>
  <c r="X1144" i="26" s="1"/>
  <c r="J1143" i="26" s="1"/>
  <c r="F1217" i="26"/>
  <c r="F779" i="26"/>
  <c r="F660" i="26"/>
  <c r="E754" i="26"/>
  <c r="G660" i="26"/>
  <c r="X661" i="26" s="1"/>
  <c r="J660" i="26" s="1"/>
  <c r="F676" i="26"/>
  <c r="G684" i="26"/>
  <c r="X685" i="26" s="1"/>
  <c r="J684" i="26" s="1"/>
  <c r="F754" i="26"/>
  <c r="X755" i="26" s="1"/>
  <c r="J754" i="26" s="1"/>
  <c r="H779" i="26"/>
  <c r="V1247" i="26"/>
  <c r="W1243" i="26" s="1"/>
  <c r="H660" i="26"/>
  <c r="I676" i="26"/>
  <c r="V749" i="26"/>
  <c r="H760" i="26"/>
  <c r="R779" i="26" s="1"/>
  <c r="T779" i="26" s="1"/>
  <c r="F760" i="26"/>
  <c r="O767" i="26" s="1"/>
  <c r="E760" i="26"/>
  <c r="N767" i="26" s="1"/>
  <c r="H767" i="26" s="1"/>
  <c r="U853" i="26"/>
  <c r="I745" i="26"/>
  <c r="I746" i="26"/>
  <c r="G657" i="26"/>
  <c r="G656" i="26"/>
  <c r="V687" i="26"/>
  <c r="J745" i="26"/>
  <c r="J746" i="26"/>
  <c r="V688" i="26"/>
  <c r="N746" i="26"/>
  <c r="N745" i="26"/>
  <c r="E745" i="26"/>
  <c r="E746" i="26"/>
  <c r="V680" i="26"/>
  <c r="J656" i="26"/>
  <c r="J657" i="26"/>
  <c r="F745" i="26"/>
  <c r="F746" i="26"/>
  <c r="I656" i="26"/>
  <c r="I657" i="26"/>
  <c r="K656" i="26"/>
  <c r="K657" i="26"/>
  <c r="H745" i="26"/>
  <c r="H746" i="26"/>
  <c r="H785" i="26"/>
  <c r="F785" i="26"/>
  <c r="O792" i="26" s="1"/>
  <c r="E785" i="26"/>
  <c r="N792" i="26" s="1"/>
  <c r="H792" i="26" s="1"/>
  <c r="H656" i="26"/>
  <c r="H657" i="26"/>
  <c r="K745" i="26"/>
  <c r="K746" i="26"/>
  <c r="I767" i="26"/>
  <c r="E657" i="26"/>
  <c r="E656" i="26"/>
  <c r="X780" i="26"/>
  <c r="J779" i="26" s="1"/>
  <c r="E670" i="26"/>
  <c r="X671" i="26" s="1"/>
  <c r="J670" i="26" s="1"/>
  <c r="K764" i="26"/>
  <c r="V922" i="26"/>
  <c r="U927" i="26"/>
  <c r="V679" i="26"/>
  <c r="U729" i="26"/>
  <c r="V729" i="26" s="1"/>
  <c r="W728" i="26" s="1"/>
  <c r="G785" i="26"/>
  <c r="R853" i="26" s="1"/>
  <c r="T853" i="26" s="1"/>
  <c r="F872" i="26"/>
  <c r="E922" i="26"/>
  <c r="G922" i="26"/>
  <c r="I789" i="26"/>
  <c r="N657" i="26"/>
  <c r="G746" i="26"/>
  <c r="U754" i="26"/>
  <c r="V754" i="26" s="1"/>
  <c r="W684" i="26"/>
  <c r="T696" i="26" s="1"/>
  <c r="V696" i="26" s="1"/>
  <c r="W695" i="26" s="1"/>
  <c r="C764" i="26"/>
  <c r="W764" i="26" s="1"/>
  <c r="U779" i="26" s="1"/>
  <c r="J785" i="26"/>
  <c r="V848" i="26" s="1"/>
  <c r="G676" i="26"/>
  <c r="X677" i="26" s="1"/>
  <c r="J676" i="26" s="1"/>
  <c r="E859" i="26"/>
  <c r="E870" i="26" s="1"/>
  <c r="E927" i="26"/>
  <c r="G853" i="26"/>
  <c r="X854" i="26" s="1"/>
  <c r="J853" i="26" s="1"/>
  <c r="F853" i="26"/>
  <c r="E853" i="26"/>
  <c r="G859" i="26"/>
  <c r="H859" i="26"/>
  <c r="F927" i="26"/>
  <c r="H927" i="26"/>
  <c r="J941" i="26"/>
  <c r="F941" i="26"/>
  <c r="E941" i="26"/>
  <c r="H941" i="26"/>
  <c r="G941" i="26"/>
  <c r="H863" i="26"/>
  <c r="G863" i="26"/>
  <c r="F863" i="26"/>
  <c r="H870" i="26" s="1"/>
  <c r="H871" i="26" s="1"/>
  <c r="H872" i="26" s="1"/>
  <c r="H873" i="26" s="1"/>
  <c r="H874" i="26" s="1"/>
  <c r="H875" i="26" s="1"/>
  <c r="H876" i="26" s="1"/>
  <c r="H877" i="26" s="1"/>
  <c r="H878" i="26" s="1"/>
  <c r="H879" i="26" s="1"/>
  <c r="H880" i="26" s="1"/>
  <c r="H881" i="26" s="1"/>
  <c r="H882" i="26" s="1"/>
  <c r="H883" i="26" s="1"/>
  <c r="H884" i="26" s="1"/>
  <c r="H885" i="26" s="1"/>
  <c r="H886" i="26" s="1"/>
  <c r="H887" i="26" s="1"/>
  <c r="H888" i="26" s="1"/>
  <c r="H889" i="26" s="1"/>
  <c r="H890" i="26" s="1"/>
  <c r="H891" i="26" s="1"/>
  <c r="H892" i="26" s="1"/>
  <c r="H893" i="26" s="1"/>
  <c r="H894" i="26" s="1"/>
  <c r="H895" i="26" s="1"/>
  <c r="H896" i="26" s="1"/>
  <c r="H897" i="26" s="1"/>
  <c r="H898" i="26" s="1"/>
  <c r="H899" i="26" s="1"/>
  <c r="H900" i="26" s="1"/>
  <c r="H901" i="26" s="1"/>
  <c r="H902" i="26" s="1"/>
  <c r="H903" i="26" s="1"/>
  <c r="H904" i="26" s="1"/>
  <c r="H905" i="26" s="1"/>
  <c r="H906" i="26" s="1"/>
  <c r="H907" i="26" s="1"/>
  <c r="H908" i="26" s="1"/>
  <c r="H909" i="26" s="1"/>
  <c r="H910" i="26" s="1"/>
  <c r="H911" i="26" s="1"/>
  <c r="H912" i="26" s="1"/>
  <c r="H913" i="26" s="1"/>
  <c r="H914" i="26" s="1"/>
  <c r="H915" i="26" s="1"/>
  <c r="H916" i="26" s="1"/>
  <c r="H917" i="26" s="1"/>
  <c r="H918" i="26" s="1"/>
  <c r="H919" i="26" s="1"/>
  <c r="E863" i="26"/>
  <c r="G870" i="26" s="1"/>
  <c r="G871" i="26" s="1"/>
  <c r="G872" i="26" s="1"/>
  <c r="G873" i="26" s="1"/>
  <c r="G874" i="26" s="1"/>
  <c r="G875" i="26" s="1"/>
  <c r="G876" i="26" s="1"/>
  <c r="G877" i="26" s="1"/>
  <c r="G878" i="26" s="1"/>
  <c r="G879" i="26" s="1"/>
  <c r="G880" i="26" s="1"/>
  <c r="G881" i="26" s="1"/>
  <c r="G882" i="26" s="1"/>
  <c r="G883" i="26" s="1"/>
  <c r="G884" i="26" s="1"/>
  <c r="G885" i="26" s="1"/>
  <c r="G886" i="26" s="1"/>
  <c r="G887" i="26" s="1"/>
  <c r="G888" i="26" s="1"/>
  <c r="G889" i="26" s="1"/>
  <c r="G890" i="26" s="1"/>
  <c r="G891" i="26" s="1"/>
  <c r="G892" i="26" s="1"/>
  <c r="G893" i="26" s="1"/>
  <c r="G894" i="26" s="1"/>
  <c r="G895" i="26" s="1"/>
  <c r="G896" i="26" s="1"/>
  <c r="G897" i="26" s="1"/>
  <c r="G898" i="26" s="1"/>
  <c r="G899" i="26" s="1"/>
  <c r="G900" i="26" s="1"/>
  <c r="G901" i="26" s="1"/>
  <c r="G902" i="26" s="1"/>
  <c r="G903" i="26" s="1"/>
  <c r="G904" i="26" s="1"/>
  <c r="G905" i="26" s="1"/>
  <c r="G906" i="26" s="1"/>
  <c r="G907" i="26" s="1"/>
  <c r="G908" i="26" s="1"/>
  <c r="G909" i="26" s="1"/>
  <c r="G910" i="26" s="1"/>
  <c r="G911" i="26" s="1"/>
  <c r="G912" i="26" s="1"/>
  <c r="G913" i="26" s="1"/>
  <c r="G914" i="26" s="1"/>
  <c r="G915" i="26" s="1"/>
  <c r="G916" i="26" s="1"/>
  <c r="G917" i="26" s="1"/>
  <c r="G918" i="26" s="1"/>
  <c r="G919" i="26" s="1"/>
  <c r="K945" i="26"/>
  <c r="X946" i="26"/>
  <c r="I945" i="26"/>
  <c r="X949" i="26"/>
  <c r="C945" i="26"/>
  <c r="D945" i="26"/>
  <c r="G848" i="26"/>
  <c r="F848" i="26"/>
  <c r="E848" i="26"/>
  <c r="J989" i="26"/>
  <c r="K989" i="26"/>
  <c r="Q990" i="26"/>
  <c r="C988" i="26"/>
  <c r="E987" i="26"/>
  <c r="N988" i="26"/>
  <c r="T988" i="26" s="1"/>
  <c r="T975" i="26"/>
  <c r="Q975" i="26"/>
  <c r="L975" i="26" s="1"/>
  <c r="P975" i="26"/>
  <c r="D987" i="26" s="1"/>
  <c r="L987" i="26" s="1"/>
  <c r="M1092" i="26"/>
  <c r="T1092" i="26"/>
  <c r="L1092" i="26"/>
  <c r="S1092" i="26"/>
  <c r="Q1092" i="26"/>
  <c r="N1092" i="26"/>
  <c r="U1092" i="26"/>
  <c r="R1092" i="26"/>
  <c r="L976" i="26"/>
  <c r="J1051" i="26"/>
  <c r="H1051" i="26"/>
  <c r="F1051" i="26"/>
  <c r="G1051" i="26"/>
  <c r="E1051" i="26"/>
  <c r="Q1066" i="26"/>
  <c r="O1066" i="26"/>
  <c r="O1067" i="26" s="1"/>
  <c r="O1068" i="26" s="1"/>
  <c r="O1069" i="26" s="1"/>
  <c r="O1070" i="26" s="1"/>
  <c r="O1071" i="26" s="1"/>
  <c r="O1072" i="26" s="1"/>
  <c r="O1073" i="26" s="1"/>
  <c r="O1074" i="26" s="1"/>
  <c r="O1075" i="26" s="1"/>
  <c r="O1076" i="26" s="1"/>
  <c r="O1077" i="26" s="1"/>
  <c r="O1078" i="26" s="1"/>
  <c r="O1079" i="26" s="1"/>
  <c r="O1080" i="26" s="1"/>
  <c r="O1081" i="26" s="1"/>
  <c r="O1082" i="26" s="1"/>
  <c r="O1083" i="26" s="1"/>
  <c r="O1084" i="26" s="1"/>
  <c r="O1085" i="26" s="1"/>
  <c r="O1086" i="26" s="1"/>
  <c r="O1087" i="26" s="1"/>
  <c r="O1088" i="26" s="1"/>
  <c r="O1089" i="26" s="1"/>
  <c r="O1090" i="26" s="1"/>
  <c r="O1091" i="26" s="1"/>
  <c r="O1092" i="26" s="1"/>
  <c r="O1093" i="26" s="1"/>
  <c r="O1094" i="26" s="1"/>
  <c r="O1095" i="26" s="1"/>
  <c r="O1096" i="26" s="1"/>
  <c r="O1097" i="26" s="1"/>
  <c r="O1098" i="26" s="1"/>
  <c r="O1099" i="26" s="1"/>
  <c r="O1100" i="26" s="1"/>
  <c r="O1101" i="26" s="1"/>
  <c r="O1102" i="26" s="1"/>
  <c r="O1103" i="26" s="1"/>
  <c r="O1104" i="26" s="1"/>
  <c r="O1105" i="26" s="1"/>
  <c r="O1106" i="26" s="1"/>
  <c r="O1107" i="26" s="1"/>
  <c r="O1108" i="26" s="1"/>
  <c r="O1109" i="26" s="1"/>
  <c r="O1110" i="26" s="1"/>
  <c r="O1111" i="26" s="1"/>
  <c r="O1112" i="26" s="1"/>
  <c r="O1113" i="26" s="1"/>
  <c r="O1114" i="26" s="1"/>
  <c r="U1066" i="26"/>
  <c r="T1066" i="26"/>
  <c r="S1066" i="26"/>
  <c r="P1066" i="26"/>
  <c r="N1066" i="26"/>
  <c r="L1066" i="26"/>
  <c r="R1066" i="26"/>
  <c r="M1066" i="26"/>
  <c r="M1073" i="26"/>
  <c r="S1073" i="26"/>
  <c r="U1073" i="26"/>
  <c r="T1073" i="26"/>
  <c r="R1073" i="26"/>
  <c r="P1073" i="26"/>
  <c r="Q1073" i="26"/>
  <c r="N1073" i="26"/>
  <c r="G990" i="26"/>
  <c r="M991" i="26"/>
  <c r="N990" i="26"/>
  <c r="T990" i="26" s="1"/>
  <c r="L1073" i="26"/>
  <c r="H933" i="26"/>
  <c r="R1045" i="26" s="1"/>
  <c r="T1045" i="26" s="1"/>
  <c r="J933" i="26"/>
  <c r="I976" i="26"/>
  <c r="I990" i="26"/>
  <c r="H990" i="26"/>
  <c r="O991" i="26"/>
  <c r="D941" i="26"/>
  <c r="C941" i="26"/>
  <c r="K941" i="26"/>
  <c r="I941" i="26"/>
  <c r="I982" i="26"/>
  <c r="H982" i="26" s="1"/>
  <c r="V965" i="26" s="1"/>
  <c r="W965" i="26" s="1"/>
  <c r="F937" i="26"/>
  <c r="S1070" i="26"/>
  <c r="T1070" i="26"/>
  <c r="M1070" i="26"/>
  <c r="L1070" i="26"/>
  <c r="R1070" i="26"/>
  <c r="P1070" i="26"/>
  <c r="U1089" i="26"/>
  <c r="S1089" i="26"/>
  <c r="L1089" i="26"/>
  <c r="N1089" i="26"/>
  <c r="M1089" i="26"/>
  <c r="T1089" i="26"/>
  <c r="P1089" i="26"/>
  <c r="G937" i="26"/>
  <c r="I983" i="26"/>
  <c r="H983" i="26" s="1"/>
  <c r="V969" i="26" s="1"/>
  <c r="W969" i="26" s="1"/>
  <c r="G1040" i="26"/>
  <c r="X1041" i="26" s="1"/>
  <c r="J1040" i="26" s="1"/>
  <c r="E1040" i="26"/>
  <c r="P1065" i="26"/>
  <c r="N1065" i="26"/>
  <c r="T1065" i="26"/>
  <c r="O1065" i="26"/>
  <c r="M1065" i="26"/>
  <c r="U1065" i="26"/>
  <c r="R1065" i="26"/>
  <c r="L1065" i="26"/>
  <c r="N1070" i="26"/>
  <c r="N1093" i="26"/>
  <c r="R1093" i="26"/>
  <c r="P1093" i="26"/>
  <c r="S1093" i="26"/>
  <c r="Q1093" i="26"/>
  <c r="M1093" i="26"/>
  <c r="L1093" i="26"/>
  <c r="Q1080" i="26"/>
  <c r="M1080" i="26"/>
  <c r="T1080" i="26"/>
  <c r="S1080" i="26"/>
  <c r="R1080" i="26"/>
  <c r="N1080" i="26"/>
  <c r="L1080" i="26"/>
  <c r="P1095" i="26"/>
  <c r="M1095" i="26"/>
  <c r="U1095" i="26"/>
  <c r="N1095" i="26"/>
  <c r="Q1095" i="26"/>
  <c r="S1095" i="26"/>
  <c r="U1222" i="26"/>
  <c r="V1217" i="26"/>
  <c r="F1055" i="26"/>
  <c r="H1055" i="26"/>
  <c r="G1055" i="26"/>
  <c r="R1081" i="26"/>
  <c r="Q1081" i="26"/>
  <c r="M1081" i="26"/>
  <c r="P1081" i="26"/>
  <c r="L1081" i="26"/>
  <c r="U1081" i="26"/>
  <c r="I980" i="26"/>
  <c r="H980" i="26" s="1"/>
  <c r="V957" i="26" s="1"/>
  <c r="W957" i="26" s="1"/>
  <c r="X1060" i="26"/>
  <c r="K1059" i="26"/>
  <c r="D1059" i="26"/>
  <c r="Q1096" i="26"/>
  <c r="L1096" i="26"/>
  <c r="R1096" i="26"/>
  <c r="S1096" i="26"/>
  <c r="P1096" i="26"/>
  <c r="U1096" i="26"/>
  <c r="T1096" i="26"/>
  <c r="M1096" i="26"/>
  <c r="I979" i="26"/>
  <c r="R1067" i="26"/>
  <c r="P1067" i="26"/>
  <c r="N1067" i="26"/>
  <c r="Q1067" i="26"/>
  <c r="M1067" i="26"/>
  <c r="U1067" i="26"/>
  <c r="S1081" i="26"/>
  <c r="N1096" i="26"/>
  <c r="I978" i="26"/>
  <c r="H978" i="26" s="1"/>
  <c r="V949" i="26" s="1"/>
  <c r="W949" i="26" s="1"/>
  <c r="N989" i="26"/>
  <c r="T989" i="26" s="1"/>
  <c r="T1081" i="26"/>
  <c r="I977" i="26"/>
  <c r="H977" i="26" s="1"/>
  <c r="V945" i="26" s="1"/>
  <c r="W945" i="26" s="1"/>
  <c r="X1046" i="26"/>
  <c r="J1045" i="26" s="1"/>
  <c r="T1069" i="26"/>
  <c r="R1069" i="26"/>
  <c r="L1069" i="26"/>
  <c r="Q1069" i="26"/>
  <c r="P1069" i="26"/>
  <c r="U1069" i="26"/>
  <c r="S1069" i="26"/>
  <c r="N1069" i="26"/>
  <c r="U1088" i="26"/>
  <c r="M1088" i="26"/>
  <c r="R1088" i="26"/>
  <c r="P1088" i="26"/>
  <c r="L1088" i="26"/>
  <c r="N1105" i="26"/>
  <c r="T1105" i="26"/>
  <c r="S1105" i="26"/>
  <c r="R1105" i="26"/>
  <c r="Q1108" i="26"/>
  <c r="M1108" i="26"/>
  <c r="S1108" i="26"/>
  <c r="P1108" i="26"/>
  <c r="R1108" i="26"/>
  <c r="E1123" i="26"/>
  <c r="G1123" i="26"/>
  <c r="H1123" i="26"/>
  <c r="F1123" i="26"/>
  <c r="N1088" i="26"/>
  <c r="L1105" i="26"/>
  <c r="L1108" i="26"/>
  <c r="R1097" i="26"/>
  <c r="Q1097" i="26"/>
  <c r="M1097" i="26"/>
  <c r="U1097" i="26"/>
  <c r="L1097" i="26"/>
  <c r="E1232" i="26"/>
  <c r="E1231" i="26"/>
  <c r="J1129" i="26"/>
  <c r="V1143" i="26" s="1"/>
  <c r="G1129" i="26"/>
  <c r="F1129" i="26"/>
  <c r="F1231" i="26"/>
  <c r="F1232" i="26"/>
  <c r="G1231" i="26"/>
  <c r="G1232" i="26"/>
  <c r="N1231" i="26"/>
  <c r="N1232" i="26"/>
  <c r="S1097" i="26"/>
  <c r="R1109" i="26"/>
  <c r="T1109" i="26"/>
  <c r="L1109" i="26"/>
  <c r="M1109" i="26"/>
  <c r="U1148" i="26"/>
  <c r="T1083" i="26"/>
  <c r="S1083" i="26"/>
  <c r="V1051" i="26" s="1"/>
  <c r="W1051" i="26" s="1"/>
  <c r="M1083" i="26"/>
  <c r="R1083" i="26"/>
  <c r="Q1083" i="26"/>
  <c r="L1087" i="26"/>
  <c r="P1087" i="26"/>
  <c r="N1087" i="26"/>
  <c r="T1087" i="26"/>
  <c r="R1087" i="26"/>
  <c r="Q1087" i="26"/>
  <c r="S1098" i="26"/>
  <c r="T1098" i="26"/>
  <c r="R1098" i="26"/>
  <c r="P1098" i="26"/>
  <c r="N1098" i="26"/>
  <c r="M1098" i="26"/>
  <c r="P1109" i="26"/>
  <c r="T1111" i="26"/>
  <c r="S1111" i="26"/>
  <c r="N1111" i="26"/>
  <c r="L1111" i="26"/>
  <c r="R1111" i="26"/>
  <c r="U1111" i="26"/>
  <c r="E1129" i="26"/>
  <c r="N1077" i="26"/>
  <c r="T1077" i="26"/>
  <c r="M1077" i="26"/>
  <c r="T1099" i="26"/>
  <c r="S1099" i="26"/>
  <c r="M1099" i="26"/>
  <c r="L1103" i="26"/>
  <c r="P1103" i="26"/>
  <c r="R1103" i="26"/>
  <c r="E1118" i="26"/>
  <c r="F1118" i="26"/>
  <c r="X1119" i="26" s="1"/>
  <c r="J1118" i="26" s="1"/>
  <c r="F1154" i="26"/>
  <c r="E1154" i="26"/>
  <c r="H1154" i="26"/>
  <c r="G1154" i="26"/>
  <c r="I1231" i="26"/>
  <c r="I1232" i="26"/>
  <c r="U1077" i="26"/>
  <c r="U1099" i="26"/>
  <c r="L1075" i="26"/>
  <c r="R1075" i="26"/>
  <c r="P1075" i="26"/>
  <c r="U1112" i="26"/>
  <c r="Q1112" i="26"/>
  <c r="J1231" i="26"/>
  <c r="J1232" i="26"/>
  <c r="M1104" i="26"/>
  <c r="R1104" i="26"/>
  <c r="G1222" i="26"/>
  <c r="X1223" i="26" s="1"/>
  <c r="J1222" i="26" s="1"/>
  <c r="E1222" i="26"/>
  <c r="F1251" i="26"/>
  <c r="O1258" i="26" s="1"/>
  <c r="E1251" i="26"/>
  <c r="N1258" i="26" s="1"/>
  <c r="H1231" i="26"/>
  <c r="H1232" i="26"/>
  <c r="G1217" i="26"/>
  <c r="E1217" i="26"/>
  <c r="X1218" i="26" s="1"/>
  <c r="J1217" i="26" s="1"/>
  <c r="Q1068" i="26"/>
  <c r="R1076" i="26"/>
  <c r="Q1082" i="26"/>
  <c r="S1104" i="26"/>
  <c r="M1072" i="26"/>
  <c r="T1076" i="26"/>
  <c r="M1079" i="26"/>
  <c r="T1082" i="26"/>
  <c r="L1091" i="26"/>
  <c r="R1091" i="26"/>
  <c r="N1101" i="26"/>
  <c r="U1104" i="26"/>
  <c r="S1110" i="26"/>
  <c r="Q1110" i="26"/>
  <c r="K1258" i="26"/>
  <c r="Q1251" i="26"/>
  <c r="U1268" i="26"/>
  <c r="V1263" i="26"/>
  <c r="E1263" i="26"/>
  <c r="E1268" i="26"/>
  <c r="F1263" i="26"/>
  <c r="X1264" i="26" s="1"/>
  <c r="J1263" i="26" s="1"/>
  <c r="F1268" i="26"/>
  <c r="X1269" i="26" s="1"/>
  <c r="J1268" i="26" s="1"/>
  <c r="G338" i="26"/>
  <c r="O339" i="26"/>
  <c r="T339" i="26" s="1"/>
  <c r="T735" i="4"/>
  <c r="T734" i="4"/>
  <c r="T733" i="4"/>
  <c r="T732" i="4"/>
  <c r="T731" i="4"/>
  <c r="T730" i="4"/>
  <c r="T729" i="4"/>
  <c r="T728" i="4"/>
  <c r="T727" i="4"/>
  <c r="T726" i="4"/>
  <c r="T725" i="4"/>
  <c r="T724" i="4"/>
  <c r="T723" i="4"/>
  <c r="T722" i="4"/>
  <c r="T721" i="4"/>
  <c r="T720" i="4"/>
  <c r="T719" i="4"/>
  <c r="T718" i="4"/>
  <c r="T717" i="4"/>
  <c r="T716" i="4"/>
  <c r="T715" i="4"/>
  <c r="T714" i="4"/>
  <c r="T713" i="4"/>
  <c r="T712" i="4"/>
  <c r="T711" i="4"/>
  <c r="T710" i="4"/>
  <c r="T709" i="4"/>
  <c r="T708" i="4"/>
  <c r="T707" i="4"/>
  <c r="T706" i="4"/>
  <c r="T705" i="4"/>
  <c r="T704" i="4"/>
  <c r="T703" i="4"/>
  <c r="T702" i="4"/>
  <c r="T701" i="4"/>
  <c r="T700" i="4"/>
  <c r="T699" i="4"/>
  <c r="T698" i="4"/>
  <c r="T697" i="4"/>
  <c r="T696" i="4"/>
  <c r="T695" i="4"/>
  <c r="T694" i="4"/>
  <c r="T693" i="4"/>
  <c r="T692" i="4"/>
  <c r="T691" i="4"/>
  <c r="T690" i="4"/>
  <c r="T689" i="4"/>
  <c r="T688" i="4"/>
  <c r="T687" i="4"/>
  <c r="T686" i="4"/>
  <c r="T685" i="4"/>
  <c r="T684" i="4"/>
  <c r="T683" i="4"/>
  <c r="T682" i="4"/>
  <c r="T681" i="4"/>
  <c r="T680" i="4"/>
  <c r="T679" i="4"/>
  <c r="T678" i="4"/>
  <c r="T677" i="4"/>
  <c r="T676" i="4"/>
  <c r="T675" i="4"/>
  <c r="T674" i="4"/>
  <c r="T673" i="4"/>
  <c r="T672" i="4"/>
  <c r="T671" i="4"/>
  <c r="T670" i="4"/>
  <c r="T669" i="4"/>
  <c r="T668" i="4"/>
  <c r="T667" i="4"/>
  <c r="T666" i="4"/>
  <c r="T665" i="4"/>
  <c r="T664" i="4"/>
  <c r="T663" i="4"/>
  <c r="T662" i="4"/>
  <c r="T661" i="4"/>
  <c r="T660" i="4"/>
  <c r="T659" i="4"/>
  <c r="T658" i="4"/>
  <c r="T657" i="4"/>
  <c r="T656" i="4"/>
  <c r="T655" i="4"/>
  <c r="T654" i="4"/>
  <c r="T653" i="4"/>
  <c r="T652" i="4"/>
  <c r="T651" i="4"/>
  <c r="T650" i="4"/>
  <c r="T649" i="4"/>
  <c r="T648" i="4"/>
  <c r="T647" i="4"/>
  <c r="T646" i="4"/>
  <c r="T645" i="4"/>
  <c r="T644" i="4"/>
  <c r="T643" i="4"/>
  <c r="T642" i="4"/>
  <c r="T641" i="4"/>
  <c r="T640" i="4"/>
  <c r="T639" i="4"/>
  <c r="T638" i="4"/>
  <c r="T637" i="4"/>
  <c r="T636" i="4"/>
  <c r="T635" i="4"/>
  <c r="T634" i="4"/>
  <c r="T633" i="4"/>
  <c r="T632" i="4"/>
  <c r="T631" i="4"/>
  <c r="T630" i="4"/>
  <c r="T628" i="4"/>
  <c r="T627" i="4"/>
  <c r="T626" i="4"/>
  <c r="T625" i="4"/>
  <c r="T624" i="4"/>
  <c r="T623" i="4"/>
  <c r="T622" i="4"/>
  <c r="T621" i="4"/>
  <c r="T620" i="4"/>
  <c r="T619" i="4"/>
  <c r="T618" i="4"/>
  <c r="T617" i="4"/>
  <c r="T616" i="4"/>
  <c r="T615" i="4"/>
  <c r="T614" i="4"/>
  <c r="T613" i="4"/>
  <c r="T612" i="4"/>
  <c r="T611" i="4"/>
  <c r="T610" i="4"/>
  <c r="T609" i="4"/>
  <c r="T608" i="4"/>
  <c r="T607" i="4"/>
  <c r="T606" i="4"/>
  <c r="T605" i="4"/>
  <c r="T604" i="4"/>
  <c r="T603" i="4"/>
  <c r="T602" i="4"/>
  <c r="T601" i="4"/>
  <c r="T600" i="4"/>
  <c r="T599" i="4"/>
  <c r="T598" i="4"/>
  <c r="T597" i="4"/>
  <c r="T596" i="4"/>
  <c r="T595" i="4"/>
  <c r="T594" i="4"/>
  <c r="T593" i="4"/>
  <c r="T592" i="4"/>
  <c r="T591" i="4"/>
  <c r="T590" i="4"/>
  <c r="T589" i="4"/>
  <c r="T588" i="4"/>
  <c r="T587" i="4"/>
  <c r="T586" i="4"/>
  <c r="T585" i="4"/>
  <c r="T584" i="4"/>
  <c r="T583" i="4"/>
  <c r="T582" i="4"/>
  <c r="T581" i="4"/>
  <c r="T580" i="4"/>
  <c r="T579" i="4"/>
  <c r="T578" i="4"/>
  <c r="T577" i="4"/>
  <c r="T576" i="4"/>
  <c r="T575" i="4"/>
  <c r="T574" i="4"/>
  <c r="T573" i="4"/>
  <c r="T572" i="4"/>
  <c r="T571" i="4"/>
  <c r="T570" i="4"/>
  <c r="T569" i="4"/>
  <c r="T568" i="4"/>
  <c r="T567" i="4"/>
  <c r="T566" i="4"/>
  <c r="T565" i="4"/>
  <c r="T564" i="4"/>
  <c r="T563" i="4"/>
  <c r="T562" i="4"/>
  <c r="T561" i="4"/>
  <c r="T560" i="4"/>
  <c r="T559" i="4"/>
  <c r="T558" i="4"/>
  <c r="T557" i="4"/>
  <c r="T556" i="4"/>
  <c r="T555" i="4"/>
  <c r="T554" i="4"/>
  <c r="T553" i="4"/>
  <c r="T552" i="4"/>
  <c r="T550" i="4"/>
  <c r="T549" i="4"/>
  <c r="T548" i="4"/>
  <c r="T547" i="4"/>
  <c r="T546" i="4"/>
  <c r="T545" i="4"/>
  <c r="T544" i="4"/>
  <c r="T543" i="4"/>
  <c r="T542" i="4"/>
  <c r="T541" i="4"/>
  <c r="T540" i="4"/>
  <c r="T539" i="4"/>
  <c r="T538" i="4"/>
  <c r="T537" i="4"/>
  <c r="T536" i="4"/>
  <c r="T535" i="4"/>
  <c r="T534" i="4"/>
  <c r="T533" i="4"/>
  <c r="T532" i="4"/>
  <c r="T531" i="4"/>
  <c r="T530" i="4"/>
  <c r="T529" i="4"/>
  <c r="T528" i="4"/>
  <c r="T527" i="4"/>
  <c r="T526" i="4"/>
  <c r="T525" i="4"/>
  <c r="T524" i="4"/>
  <c r="T523" i="4"/>
  <c r="T522" i="4"/>
  <c r="T521" i="4"/>
  <c r="T520" i="4"/>
  <c r="T519" i="4"/>
  <c r="T518" i="4"/>
  <c r="T517" i="4"/>
  <c r="T516" i="4"/>
  <c r="T515" i="4"/>
  <c r="T514" i="4"/>
  <c r="T513" i="4"/>
  <c r="T512" i="4"/>
  <c r="T511" i="4"/>
  <c r="T510" i="4"/>
  <c r="T509" i="4"/>
  <c r="T508" i="4"/>
  <c r="T507" i="4"/>
  <c r="T506" i="4"/>
  <c r="T505" i="4"/>
  <c r="T504" i="4"/>
  <c r="T503" i="4"/>
  <c r="T502" i="4"/>
  <c r="T501" i="4"/>
  <c r="T500" i="4"/>
  <c r="T499" i="4"/>
  <c r="T498" i="4"/>
  <c r="T497" i="4"/>
  <c r="T496" i="4"/>
  <c r="T495" i="4"/>
  <c r="T494" i="4"/>
  <c r="T493" i="4"/>
  <c r="T492" i="4"/>
  <c r="T491" i="4"/>
  <c r="T490" i="4"/>
  <c r="T489" i="4"/>
  <c r="T488" i="4"/>
  <c r="T487" i="4"/>
  <c r="T486" i="4"/>
  <c r="T485" i="4"/>
  <c r="T484" i="4"/>
  <c r="T483" i="4"/>
  <c r="T482" i="4"/>
  <c r="T481" i="4"/>
  <c r="T480" i="4"/>
  <c r="T479" i="4"/>
  <c r="T478" i="4"/>
  <c r="T477" i="4"/>
  <c r="T476" i="4"/>
  <c r="T475" i="4"/>
  <c r="T474" i="4"/>
  <c r="T473" i="4"/>
  <c r="T472" i="4"/>
  <c r="T471" i="4"/>
  <c r="T470" i="4"/>
  <c r="U1854" i="4"/>
  <c r="U1853" i="4"/>
  <c r="U1222" i="4"/>
  <c r="U1223" i="4" s="1"/>
  <c r="U1224" i="4" s="1"/>
  <c r="U1225" i="4" s="1"/>
  <c r="U1226" i="4" s="1"/>
  <c r="U1227" i="4" s="1"/>
  <c r="U1228" i="4" s="1"/>
  <c r="U1229" i="4" s="1"/>
  <c r="U1230" i="4" s="1"/>
  <c r="U1231" i="4" s="1"/>
  <c r="U1232" i="4" s="1"/>
  <c r="U1233" i="4" s="1"/>
  <c r="U1234" i="4" s="1"/>
  <c r="U1235" i="4" s="1"/>
  <c r="U1236" i="4" s="1"/>
  <c r="U1237" i="4" s="1"/>
  <c r="U1238" i="4" s="1"/>
  <c r="U1239" i="4" s="1"/>
  <c r="U1240" i="4" s="1"/>
  <c r="U1241" i="4" s="1"/>
  <c r="U1242" i="4" s="1"/>
  <c r="U1243" i="4" s="1"/>
  <c r="U1244" i="4" s="1"/>
  <c r="U1245" i="4" s="1"/>
  <c r="U1246" i="4" s="1"/>
  <c r="U1247" i="4" s="1"/>
  <c r="U1248" i="4" s="1"/>
  <c r="U1249" i="4" s="1"/>
  <c r="U1250" i="4" s="1"/>
  <c r="U1251" i="4" s="1"/>
  <c r="U1252" i="4" s="1"/>
  <c r="U1253" i="4" s="1"/>
  <c r="U1254" i="4" s="1"/>
  <c r="U1255" i="4" s="1"/>
  <c r="U1256" i="4" s="1"/>
  <c r="U1257" i="4" s="1"/>
  <c r="U1258" i="4" s="1"/>
  <c r="U1259" i="4" s="1"/>
  <c r="U1260" i="4" s="1"/>
  <c r="U1261" i="4" s="1"/>
  <c r="U1262" i="4" s="1"/>
  <c r="U1263" i="4" s="1"/>
  <c r="U1264" i="4" s="1"/>
  <c r="U1265" i="4" s="1"/>
  <c r="U1266" i="4" s="1"/>
  <c r="U1267" i="4" s="1"/>
  <c r="U1268" i="4" s="1"/>
  <c r="U1269" i="4" s="1"/>
  <c r="U1270" i="4" s="1"/>
  <c r="U1271" i="4" s="1"/>
  <c r="U1272" i="4" s="1"/>
  <c r="U1273" i="4" s="1"/>
  <c r="U1274" i="4" s="1"/>
  <c r="U1275" i="4" s="1"/>
  <c r="U1276" i="4" s="1"/>
  <c r="U1277" i="4" s="1"/>
  <c r="U1278" i="4" s="1"/>
  <c r="U1279" i="4" s="1"/>
  <c r="U1280" i="4" s="1"/>
  <c r="U1281" i="4" s="1"/>
  <c r="U1282" i="4" s="1"/>
  <c r="U1283" i="4" s="1"/>
  <c r="U1284" i="4" s="1"/>
  <c r="U1285" i="4" s="1"/>
  <c r="U1286" i="4" s="1"/>
  <c r="U1287" i="4" s="1"/>
  <c r="U1288" i="4" s="1"/>
  <c r="U1289" i="4" s="1"/>
  <c r="U1290" i="4" s="1"/>
  <c r="U1291" i="4" s="1"/>
  <c r="U1292" i="4" s="1"/>
  <c r="U1293" i="4" s="1"/>
  <c r="U1294" i="4" s="1"/>
  <c r="U1295" i="4" s="1"/>
  <c r="U1296" i="4" s="1"/>
  <c r="U1297" i="4" s="1"/>
  <c r="U1298" i="4" s="1"/>
  <c r="U1299" i="4" s="1"/>
  <c r="U1300" i="4" s="1"/>
  <c r="U1301" i="4" s="1"/>
  <c r="U1302" i="4" s="1"/>
  <c r="U1303" i="4" s="1"/>
  <c r="U1304" i="4" s="1"/>
  <c r="U1305" i="4" s="1"/>
  <c r="U1306" i="4" s="1"/>
  <c r="U1307" i="4" s="1"/>
  <c r="U1308" i="4" s="1"/>
  <c r="U1309" i="4" s="1"/>
  <c r="U1310" i="4" s="1"/>
  <c r="U1311" i="4" s="1"/>
  <c r="U1312" i="4" s="1"/>
  <c r="U1313" i="4" s="1"/>
  <c r="U1314" i="4" s="1"/>
  <c r="U1315" i="4" s="1"/>
  <c r="U1316" i="4" s="1"/>
  <c r="U1317" i="4" s="1"/>
  <c r="U1318" i="4" s="1"/>
  <c r="U1319" i="4" s="1"/>
  <c r="U1320" i="4" s="1"/>
  <c r="U1321" i="4" s="1"/>
  <c r="U1322" i="4" s="1"/>
  <c r="U1323" i="4" s="1"/>
  <c r="U1324" i="4" s="1"/>
  <c r="U1325" i="4" s="1"/>
  <c r="U1326" i="4" s="1"/>
  <c r="U1327" i="4" s="1"/>
  <c r="U1328" i="4" s="1"/>
  <c r="U1329" i="4" s="1"/>
  <c r="U1330" i="4" s="1"/>
  <c r="U1331" i="4" s="1"/>
  <c r="U1332" i="4" s="1"/>
  <c r="U1333" i="4" s="1"/>
  <c r="U1334" i="4" s="1"/>
  <c r="U1335" i="4" s="1"/>
  <c r="U1336" i="4" s="1"/>
  <c r="U1337" i="4" s="1"/>
  <c r="U1338" i="4" s="1"/>
  <c r="U1339" i="4" s="1"/>
  <c r="U1340" i="4" s="1"/>
  <c r="U1341" i="4" s="1"/>
  <c r="U1342" i="4" s="1"/>
  <c r="U1343" i="4" s="1"/>
  <c r="U1344" i="4" s="1"/>
  <c r="U1345" i="4" s="1"/>
  <c r="U1346" i="4" s="1"/>
  <c r="U1347" i="4" s="1"/>
  <c r="U1348" i="4" s="1"/>
  <c r="U1349" i="4" s="1"/>
  <c r="U1350" i="4" s="1"/>
  <c r="U1351" i="4" s="1"/>
  <c r="U1352" i="4" s="1"/>
  <c r="U1110" i="4"/>
  <c r="U1111" i="4" s="1"/>
  <c r="U1112" i="4" s="1"/>
  <c r="U1113" i="4" s="1"/>
  <c r="U1114" i="4" s="1"/>
  <c r="U1115" i="4" s="1"/>
  <c r="U1116" i="4" s="1"/>
  <c r="U1117" i="4" s="1"/>
  <c r="U1118" i="4" s="1"/>
  <c r="U1119" i="4" s="1"/>
  <c r="U1120" i="4" s="1"/>
  <c r="U1121" i="4" s="1"/>
  <c r="U1122" i="4" s="1"/>
  <c r="U1123" i="4" s="1"/>
  <c r="U1124" i="4" s="1"/>
  <c r="U1125" i="4" s="1"/>
  <c r="U1126" i="4" s="1"/>
  <c r="U1127" i="4" s="1"/>
  <c r="U1128" i="4" s="1"/>
  <c r="U1129" i="4" s="1"/>
  <c r="U1130" i="4" s="1"/>
  <c r="U1131" i="4" s="1"/>
  <c r="U1132" i="4" s="1"/>
  <c r="U1133" i="4" s="1"/>
  <c r="U1134" i="4" s="1"/>
  <c r="U1135" i="4" s="1"/>
  <c r="U1136" i="4" s="1"/>
  <c r="U1137" i="4" s="1"/>
  <c r="U1138" i="4" s="1"/>
  <c r="U1139" i="4" s="1"/>
  <c r="U1140" i="4" s="1"/>
  <c r="U1141" i="4" s="1"/>
  <c r="U1142" i="4" s="1"/>
  <c r="U1143" i="4" s="1"/>
  <c r="U1144" i="4" s="1"/>
  <c r="U1145" i="4" s="1"/>
  <c r="U1146" i="4" s="1"/>
  <c r="U1147" i="4" s="1"/>
  <c r="U1148" i="4" s="1"/>
  <c r="U1149" i="4" s="1"/>
  <c r="U1150" i="4" s="1"/>
  <c r="U1151" i="4" s="1"/>
  <c r="U1152" i="4" s="1"/>
  <c r="U1153" i="4" s="1"/>
  <c r="U1154" i="4" s="1"/>
  <c r="U1155" i="4" s="1"/>
  <c r="U1156" i="4" s="1"/>
  <c r="U1157" i="4" s="1"/>
  <c r="U1158" i="4" s="1"/>
  <c r="U1159" i="4" s="1"/>
  <c r="U1160" i="4" s="1"/>
  <c r="U1161" i="4" s="1"/>
  <c r="U1162" i="4" s="1"/>
  <c r="U1163" i="4" s="1"/>
  <c r="U1164" i="4" s="1"/>
  <c r="U1165" i="4" s="1"/>
  <c r="U1166" i="4" s="1"/>
  <c r="U1167" i="4" s="1"/>
  <c r="U1168" i="4" s="1"/>
  <c r="U1169" i="4" s="1"/>
  <c r="U1170" i="4" s="1"/>
  <c r="U1171" i="4" s="1"/>
  <c r="U1172" i="4" s="1"/>
  <c r="U1173" i="4" s="1"/>
  <c r="U1174" i="4" s="1"/>
  <c r="U1175" i="4" s="1"/>
  <c r="U1176" i="4" s="1"/>
  <c r="U1177" i="4" s="1"/>
  <c r="U1178" i="4" s="1"/>
  <c r="U1179" i="4" s="1"/>
  <c r="U1180" i="4" s="1"/>
  <c r="U1181" i="4" s="1"/>
  <c r="U1182" i="4" s="1"/>
  <c r="U1183" i="4" s="1"/>
  <c r="U1184" i="4" s="1"/>
  <c r="U1185" i="4" s="1"/>
  <c r="U1186" i="4" s="1"/>
  <c r="U1187" i="4" s="1"/>
  <c r="U1188" i="4" s="1"/>
  <c r="U1189" i="4" s="1"/>
  <c r="U1190" i="4" s="1"/>
  <c r="U1191" i="4" s="1"/>
  <c r="U1192" i="4" s="1"/>
  <c r="U1193" i="4" s="1"/>
  <c r="U1194" i="4" s="1"/>
  <c r="U1195" i="4" s="1"/>
  <c r="U1196" i="4" s="1"/>
  <c r="U1197" i="4" s="1"/>
  <c r="U1198" i="4" s="1"/>
  <c r="U1199" i="4" s="1"/>
  <c r="U1200" i="4" s="1"/>
  <c r="U1201" i="4" s="1"/>
  <c r="U1202" i="4" s="1"/>
  <c r="U1203" i="4" s="1"/>
  <c r="U1204" i="4" s="1"/>
  <c r="U1205" i="4" s="1"/>
  <c r="U1206" i="4" s="1"/>
  <c r="U1207" i="4" s="1"/>
  <c r="U1208" i="4" s="1"/>
  <c r="U1209" i="4" s="1"/>
  <c r="U1210" i="4" s="1"/>
  <c r="U1211" i="4" s="1"/>
  <c r="U1212" i="4" s="1"/>
  <c r="U1213" i="4" s="1"/>
  <c r="U1214" i="4" s="1"/>
  <c r="U1215" i="4" s="1"/>
  <c r="U1216" i="4" s="1"/>
  <c r="U1217" i="4" s="1"/>
  <c r="U1218" i="4" s="1"/>
  <c r="U1219" i="4" s="1"/>
  <c r="U1220" i="4" s="1"/>
  <c r="V959" i="4"/>
  <c r="T138" i="4"/>
  <c r="T137" i="4"/>
  <c r="T136" i="4"/>
  <c r="T135" i="4"/>
  <c r="T134" i="4"/>
  <c r="T133" i="4"/>
  <c r="T132" i="4"/>
  <c r="T131" i="4"/>
  <c r="T130" i="4"/>
  <c r="T129" i="4"/>
  <c r="T128" i="4"/>
  <c r="T127" i="4"/>
  <c r="T126" i="4"/>
  <c r="X923" i="26" l="1"/>
  <c r="J922" i="26" s="1"/>
  <c r="X775" i="26"/>
  <c r="J774" i="26" s="1"/>
  <c r="X849" i="26"/>
  <c r="J848" i="26" s="1"/>
  <c r="V853" i="26"/>
  <c r="E871" i="26"/>
  <c r="L870" i="26"/>
  <c r="V1059" i="26"/>
  <c r="W1059" i="26" s="1"/>
  <c r="H1133" i="26"/>
  <c r="F1133" i="26"/>
  <c r="E1133" i="26"/>
  <c r="R1268" i="26"/>
  <c r="T1268" i="26" s="1"/>
  <c r="V1268" i="26" s="1"/>
  <c r="C949" i="26"/>
  <c r="X950" i="26"/>
  <c r="X953" i="26"/>
  <c r="I949" i="26"/>
  <c r="K949" i="26"/>
  <c r="D949" i="26"/>
  <c r="V774" i="26"/>
  <c r="V1055" i="26"/>
  <c r="W1055" i="26" s="1"/>
  <c r="V1118" i="26" s="1"/>
  <c r="H1258" i="26"/>
  <c r="F987" i="26"/>
  <c r="P987" i="26" s="1"/>
  <c r="U987" i="26" s="1"/>
  <c r="X928" i="26"/>
  <c r="J927" i="26" s="1"/>
  <c r="F873" i="26"/>
  <c r="G1133" i="26"/>
  <c r="R1148" i="26"/>
  <c r="T1148" i="26" s="1"/>
  <c r="V1148" i="26" s="1"/>
  <c r="I991" i="26"/>
  <c r="H991" i="26"/>
  <c r="O992" i="26"/>
  <c r="D988" i="26"/>
  <c r="L988" i="26" s="1"/>
  <c r="E988" i="26"/>
  <c r="C989" i="26"/>
  <c r="J945" i="26"/>
  <c r="H945" i="26"/>
  <c r="G945" i="26"/>
  <c r="F945" i="26"/>
  <c r="E945" i="26"/>
  <c r="Q770" i="26"/>
  <c r="S767" i="26"/>
  <c r="G1158" i="26"/>
  <c r="R1222" i="26"/>
  <c r="T1222" i="26" s="1"/>
  <c r="V1222" i="26" s="1"/>
  <c r="Q991" i="26"/>
  <c r="K990" i="26"/>
  <c r="J990" i="26"/>
  <c r="X1124" i="26"/>
  <c r="J1123" i="26" s="1"/>
  <c r="R927" i="26"/>
  <c r="T927" i="26" s="1"/>
  <c r="V927" i="26" s="1"/>
  <c r="I870" i="26"/>
  <c r="I871" i="26" s="1"/>
  <c r="G1059" i="26"/>
  <c r="E1059" i="26"/>
  <c r="H1059" i="26"/>
  <c r="F1059" i="26"/>
  <c r="J1059" i="26"/>
  <c r="R1123" i="26"/>
  <c r="T1123" i="26" s="1"/>
  <c r="P770" i="26"/>
  <c r="R767" i="26"/>
  <c r="H1158" i="26"/>
  <c r="F1158" i="26"/>
  <c r="F1165" i="26" s="1"/>
  <c r="E1158" i="26"/>
  <c r="E1165" i="26" s="1"/>
  <c r="N991" i="26"/>
  <c r="T991" i="26" s="1"/>
  <c r="G991" i="26"/>
  <c r="M992" i="26"/>
  <c r="H795" i="26"/>
  <c r="R792" i="26"/>
  <c r="I792" i="26"/>
  <c r="V779" i="26"/>
  <c r="V227" i="26"/>
  <c r="R987" i="26" l="1"/>
  <c r="V987" i="26" s="1"/>
  <c r="N1136" i="26"/>
  <c r="H1136" i="26"/>
  <c r="R1136" i="26" s="1"/>
  <c r="P1139" i="26" s="1"/>
  <c r="J991" i="26"/>
  <c r="Q992" i="26"/>
  <c r="K991" i="26"/>
  <c r="C990" i="26"/>
  <c r="E989" i="26"/>
  <c r="D989" i="26"/>
  <c r="L989" i="26" s="1"/>
  <c r="O1136" i="26"/>
  <c r="S792" i="26"/>
  <c r="I795" i="26"/>
  <c r="H796" i="26"/>
  <c r="P795" i="26"/>
  <c r="F988" i="26"/>
  <c r="P988" i="26" s="1"/>
  <c r="U988" i="26" s="1"/>
  <c r="I1258" i="26"/>
  <c r="I1259" i="26" s="1"/>
  <c r="S1258" i="26" s="1"/>
  <c r="N992" i="26"/>
  <c r="T992" i="26" s="1"/>
  <c r="G992" i="26"/>
  <c r="M993" i="26"/>
  <c r="M870" i="26"/>
  <c r="Q870" i="26" s="1"/>
  <c r="G1165" i="26"/>
  <c r="G1166" i="26" s="1"/>
  <c r="E1166" i="26"/>
  <c r="K1165" i="26"/>
  <c r="P1165" i="26" s="1"/>
  <c r="I872" i="26"/>
  <c r="I873" i="26" s="1"/>
  <c r="I874" i="26" s="1"/>
  <c r="I875" i="26" s="1"/>
  <c r="I876" i="26" s="1"/>
  <c r="I877" i="26" s="1"/>
  <c r="I878" i="26" s="1"/>
  <c r="I879" i="26" s="1"/>
  <c r="I880" i="26" s="1"/>
  <c r="I881" i="26" s="1"/>
  <c r="I882" i="26" s="1"/>
  <c r="I883" i="26" s="1"/>
  <c r="I884" i="26" s="1"/>
  <c r="I885" i="26" s="1"/>
  <c r="I886" i="26" s="1"/>
  <c r="I887" i="26" s="1"/>
  <c r="I888" i="26" s="1"/>
  <c r="I889" i="26" s="1"/>
  <c r="I890" i="26" s="1"/>
  <c r="I891" i="26" s="1"/>
  <c r="I892" i="26" s="1"/>
  <c r="I893" i="26" s="1"/>
  <c r="I894" i="26" s="1"/>
  <c r="I895" i="26" s="1"/>
  <c r="I896" i="26" s="1"/>
  <c r="I897" i="26" s="1"/>
  <c r="I898" i="26" s="1"/>
  <c r="I899" i="26" s="1"/>
  <c r="I900" i="26" s="1"/>
  <c r="I901" i="26" s="1"/>
  <c r="I902" i="26" s="1"/>
  <c r="I903" i="26" s="1"/>
  <c r="I904" i="26" s="1"/>
  <c r="I905" i="26" s="1"/>
  <c r="I906" i="26" s="1"/>
  <c r="I907" i="26" s="1"/>
  <c r="I908" i="26" s="1"/>
  <c r="I909" i="26" s="1"/>
  <c r="I910" i="26" s="1"/>
  <c r="I911" i="26" s="1"/>
  <c r="I912" i="26" s="1"/>
  <c r="I913" i="26" s="1"/>
  <c r="I914" i="26" s="1"/>
  <c r="I915" i="26" s="1"/>
  <c r="I916" i="26" s="1"/>
  <c r="I917" i="26" s="1"/>
  <c r="I918" i="26" s="1"/>
  <c r="I919" i="26" s="1"/>
  <c r="C871" i="26"/>
  <c r="E872" i="26"/>
  <c r="I992" i="26"/>
  <c r="H992" i="26"/>
  <c r="O993" i="26"/>
  <c r="F1166" i="26"/>
  <c r="U1123" i="26"/>
  <c r="V1123" i="26" s="1"/>
  <c r="X957" i="26"/>
  <c r="I953" i="26"/>
  <c r="D953" i="26"/>
  <c r="X954" i="26"/>
  <c r="K953" i="26"/>
  <c r="C953" i="26"/>
  <c r="F874" i="26"/>
  <c r="E949" i="26"/>
  <c r="H949" i="26"/>
  <c r="G949" i="26"/>
  <c r="F949" i="26"/>
  <c r="J949" i="26"/>
  <c r="Q343" i="26"/>
  <c r="P343" i="26"/>
  <c r="Q342" i="26"/>
  <c r="P342" i="26"/>
  <c r="X961" i="26" l="1"/>
  <c r="K957" i="26"/>
  <c r="X958" i="26"/>
  <c r="I957" i="26"/>
  <c r="D957" i="26"/>
  <c r="C957" i="26"/>
  <c r="R988" i="26"/>
  <c r="V988" i="26" s="1"/>
  <c r="H976" i="26" s="1"/>
  <c r="V941" i="26" s="1"/>
  <c r="W941" i="26" s="1"/>
  <c r="H953" i="26"/>
  <c r="G953" i="26"/>
  <c r="F953" i="26"/>
  <c r="E953" i="26"/>
  <c r="J953" i="26"/>
  <c r="C872" i="26"/>
  <c r="F989" i="26"/>
  <c r="P989" i="26" s="1"/>
  <c r="U989" i="26" s="1"/>
  <c r="R989" i="26"/>
  <c r="V989" i="26" s="1"/>
  <c r="H1259" i="26"/>
  <c r="R1258" i="26" s="1"/>
  <c r="C991" i="26"/>
  <c r="E990" i="26"/>
  <c r="D990" i="26"/>
  <c r="L990" i="26" s="1"/>
  <c r="T1165" i="26"/>
  <c r="S1165" i="26"/>
  <c r="O994" i="26"/>
  <c r="I993" i="26"/>
  <c r="H993" i="26"/>
  <c r="Q795" i="26"/>
  <c r="I796" i="26"/>
  <c r="T1139" i="26"/>
  <c r="F1167" i="26"/>
  <c r="G1167" i="26"/>
  <c r="G1168" i="26" s="1"/>
  <c r="G1169" i="26" s="1"/>
  <c r="G1170" i="26" s="1"/>
  <c r="G1171" i="26" s="1"/>
  <c r="G1172" i="26" s="1"/>
  <c r="G1173" i="26" s="1"/>
  <c r="G1174" i="26" s="1"/>
  <c r="G1175" i="26" s="1"/>
  <c r="G1176" i="26" s="1"/>
  <c r="G1177" i="26" s="1"/>
  <c r="G1178" i="26" s="1"/>
  <c r="G1179" i="26" s="1"/>
  <c r="G1180" i="26" s="1"/>
  <c r="G1181" i="26" s="1"/>
  <c r="G1182" i="26" s="1"/>
  <c r="G1183" i="26" s="1"/>
  <c r="G1184" i="26" s="1"/>
  <c r="G1185" i="26" s="1"/>
  <c r="G1186" i="26" s="1"/>
  <c r="G1187" i="26" s="1"/>
  <c r="G1188" i="26" s="1"/>
  <c r="G1189" i="26" s="1"/>
  <c r="G1190" i="26" s="1"/>
  <c r="G1191" i="26" s="1"/>
  <c r="G1192" i="26" s="1"/>
  <c r="G1193" i="26" s="1"/>
  <c r="G1194" i="26" s="1"/>
  <c r="G1195" i="26" s="1"/>
  <c r="G1196" i="26" s="1"/>
  <c r="G1197" i="26" s="1"/>
  <c r="G1198" i="26" s="1"/>
  <c r="G1199" i="26" s="1"/>
  <c r="G1200" i="26" s="1"/>
  <c r="G1201" i="26" s="1"/>
  <c r="G1202" i="26" s="1"/>
  <c r="G1203" i="26" s="1"/>
  <c r="G1204" i="26" s="1"/>
  <c r="G1205" i="26" s="1"/>
  <c r="G1206" i="26" s="1"/>
  <c r="G1207" i="26" s="1"/>
  <c r="G1208" i="26" s="1"/>
  <c r="G1209" i="26" s="1"/>
  <c r="G1210" i="26" s="1"/>
  <c r="G1211" i="26" s="1"/>
  <c r="G1212" i="26" s="1"/>
  <c r="G1213" i="26" s="1"/>
  <c r="G1214" i="26" s="1"/>
  <c r="C1166" i="26"/>
  <c r="H797" i="26"/>
  <c r="P796" i="26"/>
  <c r="E1167" i="26"/>
  <c r="K992" i="26"/>
  <c r="J992" i="26"/>
  <c r="Q993" i="26"/>
  <c r="F875" i="26"/>
  <c r="P870" i="26"/>
  <c r="T870" i="26" s="1"/>
  <c r="L871" i="26"/>
  <c r="N993" i="26"/>
  <c r="T993" i="26" s="1"/>
  <c r="M994" i="26"/>
  <c r="G993" i="26"/>
  <c r="U1139" i="26"/>
  <c r="L872" i="26"/>
  <c r="E873" i="26"/>
  <c r="K497" i="26"/>
  <c r="I497" i="26"/>
  <c r="D497" i="26"/>
  <c r="C497" i="26"/>
  <c r="L496" i="26"/>
  <c r="K496" i="26"/>
  <c r="J496" i="26"/>
  <c r="I496" i="26"/>
  <c r="H496" i="26"/>
  <c r="G496" i="26"/>
  <c r="F496" i="26"/>
  <c r="E496" i="26"/>
  <c r="D496" i="26"/>
  <c r="C496" i="26"/>
  <c r="T124" i="26"/>
  <c r="J126" i="4"/>
  <c r="I126" i="4"/>
  <c r="H126" i="4"/>
  <c r="G126" i="4"/>
  <c r="B38" i="28"/>
  <c r="C38" i="28"/>
  <c r="D38" i="28"/>
  <c r="I38" i="28"/>
  <c r="J38" i="28"/>
  <c r="M38" i="28"/>
  <c r="N38" i="28"/>
  <c r="P38" i="28" s="1"/>
  <c r="B37" i="28"/>
  <c r="C37" i="28"/>
  <c r="D37" i="28"/>
  <c r="I37" i="28"/>
  <c r="J37" i="28"/>
  <c r="M37" i="28"/>
  <c r="N37" i="28"/>
  <c r="B36" i="28"/>
  <c r="C36" i="28"/>
  <c r="D36" i="28"/>
  <c r="I36" i="28"/>
  <c r="J36" i="28"/>
  <c r="M36" i="28"/>
  <c r="N36" i="28"/>
  <c r="B35" i="28"/>
  <c r="C35" i="28"/>
  <c r="D35" i="28"/>
  <c r="I35" i="28"/>
  <c r="J35" i="28"/>
  <c r="M35" i="28"/>
  <c r="N35" i="28"/>
  <c r="B34" i="28"/>
  <c r="C34" i="28"/>
  <c r="D34" i="28"/>
  <c r="I34" i="28"/>
  <c r="J34" i="28"/>
  <c r="M34" i="28"/>
  <c r="N34" i="28"/>
  <c r="B33" i="28"/>
  <c r="C33" i="28"/>
  <c r="D33" i="28"/>
  <c r="I33" i="28"/>
  <c r="J33" i="28"/>
  <c r="M33" i="28"/>
  <c r="N33" i="28"/>
  <c r="B32" i="28"/>
  <c r="C32" i="28"/>
  <c r="D32" i="28"/>
  <c r="I32" i="28"/>
  <c r="J32" i="28"/>
  <c r="M32" i="28"/>
  <c r="N32" i="28"/>
  <c r="B31" i="28"/>
  <c r="C31" i="28"/>
  <c r="D31" i="28"/>
  <c r="I31" i="28"/>
  <c r="J31" i="28"/>
  <c r="M31" i="28"/>
  <c r="N31" i="28"/>
  <c r="B30" i="28"/>
  <c r="C30" i="28"/>
  <c r="D30" i="28"/>
  <c r="I30" i="28"/>
  <c r="J30" i="28"/>
  <c r="M30" i="28"/>
  <c r="N30" i="28"/>
  <c r="B29" i="28"/>
  <c r="C29" i="28"/>
  <c r="D29" i="28"/>
  <c r="I29" i="28"/>
  <c r="J29" i="28"/>
  <c r="M29" i="28"/>
  <c r="N29" i="28"/>
  <c r="B28" i="28"/>
  <c r="C28" i="28"/>
  <c r="D28" i="28"/>
  <c r="I28" i="28"/>
  <c r="J28" i="28"/>
  <c r="M28" i="28"/>
  <c r="N28" i="28"/>
  <c r="B27" i="28"/>
  <c r="C27" i="28"/>
  <c r="D27" i="28"/>
  <c r="I27" i="28"/>
  <c r="J27" i="28"/>
  <c r="M27" i="28"/>
  <c r="N27" i="28"/>
  <c r="B26" i="28"/>
  <c r="C26" i="28"/>
  <c r="D26" i="28"/>
  <c r="I26" i="28"/>
  <c r="J26" i="28"/>
  <c r="M26" i="28"/>
  <c r="N26" i="28"/>
  <c r="B25" i="28"/>
  <c r="C25" i="28"/>
  <c r="D25" i="28"/>
  <c r="I25" i="28"/>
  <c r="J25" i="28"/>
  <c r="M25" i="28"/>
  <c r="N25" i="28"/>
  <c r="B24" i="28"/>
  <c r="C24" i="28"/>
  <c r="D24" i="28"/>
  <c r="I24" i="28"/>
  <c r="J24" i="28"/>
  <c r="M24" i="28"/>
  <c r="N24" i="28"/>
  <c r="B23" i="28"/>
  <c r="C23" i="28"/>
  <c r="D23" i="28"/>
  <c r="I23" i="28"/>
  <c r="J23" i="28"/>
  <c r="M23" i="28"/>
  <c r="N23" i="28"/>
  <c r="B22" i="28"/>
  <c r="C22" i="28"/>
  <c r="D22" i="28"/>
  <c r="I22" i="28"/>
  <c r="J22" i="28"/>
  <c r="M22" i="28"/>
  <c r="N22" i="28"/>
  <c r="B21" i="28"/>
  <c r="C21" i="28"/>
  <c r="D21" i="28"/>
  <c r="I21" i="28"/>
  <c r="J21" i="28"/>
  <c r="M21" i="28"/>
  <c r="N21" i="28"/>
  <c r="B20" i="28"/>
  <c r="C20" i="28"/>
  <c r="D20" i="28"/>
  <c r="I20" i="28"/>
  <c r="J20" i="28"/>
  <c r="M20" i="28"/>
  <c r="N20" i="28"/>
  <c r="B19" i="28"/>
  <c r="C19" i="28"/>
  <c r="D19" i="28"/>
  <c r="I19" i="28"/>
  <c r="J19" i="28"/>
  <c r="M19" i="28"/>
  <c r="N19" i="28"/>
  <c r="B18" i="28"/>
  <c r="C18" i="28"/>
  <c r="D18" i="28"/>
  <c r="I18" i="28"/>
  <c r="J18" i="28"/>
  <c r="M18" i="28"/>
  <c r="N18" i="28"/>
  <c r="B17" i="28"/>
  <c r="C17" i="28"/>
  <c r="D17" i="28"/>
  <c r="I17" i="28"/>
  <c r="J17" i="28"/>
  <c r="M17" i="28"/>
  <c r="N17" i="28"/>
  <c r="B16" i="28"/>
  <c r="C16" i="28"/>
  <c r="D16" i="28"/>
  <c r="I16" i="28"/>
  <c r="J16" i="28"/>
  <c r="M16" i="28"/>
  <c r="N16" i="28"/>
  <c r="B15" i="28"/>
  <c r="C15" i="28"/>
  <c r="D15" i="28"/>
  <c r="I15" i="28"/>
  <c r="J15" i="28"/>
  <c r="M15" i="28"/>
  <c r="N15" i="28"/>
  <c r="B14" i="28"/>
  <c r="C14" i="28"/>
  <c r="D14" i="28"/>
  <c r="I14" i="28"/>
  <c r="J14" i="28"/>
  <c r="M14" i="28"/>
  <c r="N14" i="28"/>
  <c r="B13" i="28"/>
  <c r="C13" i="28"/>
  <c r="D13" i="28"/>
  <c r="I13" i="28"/>
  <c r="J13" i="28"/>
  <c r="M13" i="28"/>
  <c r="N13" i="28"/>
  <c r="B12" i="28"/>
  <c r="C12" i="28"/>
  <c r="A12" i="28" s="1" a="1"/>
  <c r="A12" i="28" s="1"/>
  <c r="D12" i="28"/>
  <c r="K12" i="28" s="1" a="1"/>
  <c r="K12" i="28" s="1"/>
  <c r="I12" i="28"/>
  <c r="J12" i="28"/>
  <c r="M12" i="28"/>
  <c r="N12" i="28"/>
  <c r="B11" i="28"/>
  <c r="C11" i="28"/>
  <c r="D11" i="28"/>
  <c r="I11" i="28"/>
  <c r="J11" i="28"/>
  <c r="M11" i="28"/>
  <c r="N11" i="28"/>
  <c r="B10" i="28"/>
  <c r="C10" i="28"/>
  <c r="D10" i="28"/>
  <c r="I10" i="28"/>
  <c r="J10" i="28"/>
  <c r="M10" i="28"/>
  <c r="N10" i="28"/>
  <c r="B9" i="28"/>
  <c r="C9" i="28"/>
  <c r="A9" i="28" s="1" a="1"/>
  <c r="A9" i="28" s="1"/>
  <c r="D9" i="28"/>
  <c r="K9" i="28" s="1" a="1"/>
  <c r="K9" i="28" s="1"/>
  <c r="I9" i="28"/>
  <c r="J9" i="28"/>
  <c r="M9" i="28"/>
  <c r="N9" i="28"/>
  <c r="B8" i="28"/>
  <c r="C8" i="28"/>
  <c r="D8" i="28"/>
  <c r="I8" i="28"/>
  <c r="J8" i="28"/>
  <c r="M8" i="28"/>
  <c r="N8" i="28"/>
  <c r="B7" i="28"/>
  <c r="C7" i="28"/>
  <c r="D7" i="28"/>
  <c r="I7" i="28"/>
  <c r="J7" i="28"/>
  <c r="M7" i="28"/>
  <c r="N7" i="28"/>
  <c r="B6" i="28"/>
  <c r="C6" i="28"/>
  <c r="D6" i="28"/>
  <c r="I6" i="28"/>
  <c r="J6" i="28"/>
  <c r="M6" i="28"/>
  <c r="N6" i="28"/>
  <c r="B5" i="28"/>
  <c r="C5" i="28"/>
  <c r="A5" i="28" s="1" a="1"/>
  <c r="A5" i="28" s="1"/>
  <c r="D5" i="28"/>
  <c r="K5" i="28" s="1" a="1"/>
  <c r="K5" i="28" s="1"/>
  <c r="I5" i="28"/>
  <c r="J5" i="28"/>
  <c r="M5" i="28"/>
  <c r="N5" i="28"/>
  <c r="B4" i="28"/>
  <c r="C4" i="28"/>
  <c r="D4" i="28"/>
  <c r="I4" i="28"/>
  <c r="J4" i="28"/>
  <c r="M4" i="28"/>
  <c r="N4" i="28"/>
  <c r="B3" i="28"/>
  <c r="C3" i="28"/>
  <c r="D3" i="28"/>
  <c r="I3" i="28"/>
  <c r="J3" i="28"/>
  <c r="M3" i="28"/>
  <c r="N3" i="28"/>
  <c r="V1882" i="4"/>
  <c r="J1882" i="4"/>
  <c r="I1882" i="4"/>
  <c r="H1882" i="4"/>
  <c r="G1882" i="4"/>
  <c r="V1881" i="4"/>
  <c r="J1881" i="4"/>
  <c r="I1881" i="4"/>
  <c r="H1881" i="4"/>
  <c r="G1881" i="4"/>
  <c r="V1880" i="4"/>
  <c r="U1880" i="4"/>
  <c r="T1880" i="4" s="1"/>
  <c r="J1880" i="4"/>
  <c r="I1880" i="4"/>
  <c r="H1880" i="4"/>
  <c r="G1880" i="4"/>
  <c r="K38" i="28" a="1"/>
  <c r="L38" i="28" a="1"/>
  <c r="K37" i="28" a="1"/>
  <c r="L37" i="28" a="1"/>
  <c r="K36" i="28" a="1"/>
  <c r="K35" i="28" a="1"/>
  <c r="K34" i="28" a="1"/>
  <c r="K33" i="28" a="1"/>
  <c r="K32" i="28" a="1"/>
  <c r="K31" i="28" a="1"/>
  <c r="K30" i="28" a="1"/>
  <c r="L30" i="28" a="1"/>
  <c r="K29" i="28" a="1"/>
  <c r="L28" i="28" a="1"/>
  <c r="K28" i="28" a="1"/>
  <c r="L27" i="28" a="1"/>
  <c r="K27" i="28" a="1"/>
  <c r="K26" i="28" a="1"/>
  <c r="K25" i="28" a="1"/>
  <c r="K24" i="28" a="1"/>
  <c r="L24" i="28" a="1"/>
  <c r="K23" i="28" a="1"/>
  <c r="K22" i="28" a="1"/>
  <c r="L22" i="28" a="1"/>
  <c r="K21" i="28" a="1"/>
  <c r="K20" i="28" a="1"/>
  <c r="L20" i="28" a="1"/>
  <c r="K19" i="28" a="1"/>
  <c r="L19" i="28" a="1"/>
  <c r="K18" i="28" a="1"/>
  <c r="L18" i="28" a="1"/>
  <c r="K17" i="28" a="1"/>
  <c r="K16" i="28" a="1"/>
  <c r="L16" i="28" a="1"/>
  <c r="L15" i="28" a="1"/>
  <c r="K14" i="28" a="1"/>
  <c r="L14" i="28" a="1"/>
  <c r="K13" i="28" a="1"/>
  <c r="K11" i="28" a="1"/>
  <c r="K10" i="28" a="1"/>
  <c r="K8" i="28" a="1"/>
  <c r="K7" i="28" a="1"/>
  <c r="K6" i="28" a="1"/>
  <c r="K4" i="28" a="1"/>
  <c r="K3" i="28" a="1"/>
  <c r="H994" i="26" l="1"/>
  <c r="O995" i="26"/>
  <c r="I994" i="26"/>
  <c r="M995" i="26"/>
  <c r="G994" i="26"/>
  <c r="N994" i="26"/>
  <c r="T994" i="26" s="1"/>
  <c r="E874" i="26"/>
  <c r="C992" i="26"/>
  <c r="E991" i="26"/>
  <c r="D991" i="26"/>
  <c r="L991" i="26" s="1"/>
  <c r="K1166" i="26"/>
  <c r="C1167" i="26"/>
  <c r="F876" i="26"/>
  <c r="F1168" i="26"/>
  <c r="Q994" i="26"/>
  <c r="K993" i="26"/>
  <c r="J993" i="26"/>
  <c r="I797" i="26"/>
  <c r="Q796" i="26"/>
  <c r="J957" i="26"/>
  <c r="F957" i="26"/>
  <c r="E957" i="26"/>
  <c r="H957" i="26"/>
  <c r="G957" i="26"/>
  <c r="H798" i="26"/>
  <c r="P797" i="26"/>
  <c r="S870" i="26"/>
  <c r="M871" i="26"/>
  <c r="Q871" i="26" s="1"/>
  <c r="F990" i="26"/>
  <c r="P990" i="26" s="1"/>
  <c r="U990" i="26" s="1"/>
  <c r="E1168" i="26"/>
  <c r="C873" i="26"/>
  <c r="L873" i="26" s="1"/>
  <c r="M872" i="26"/>
  <c r="Q872" i="26" s="1"/>
  <c r="X962" i="26"/>
  <c r="C961" i="26"/>
  <c r="D961" i="26"/>
  <c r="K961" i="26"/>
  <c r="X965" i="26"/>
  <c r="I961" i="26"/>
  <c r="P37" i="28"/>
  <c r="P32" i="28"/>
  <c r="L38" i="28"/>
  <c r="K38" i="28"/>
  <c r="L37" i="28"/>
  <c r="K37" i="28"/>
  <c r="P31" i="28"/>
  <c r="P36" i="28"/>
  <c r="K36" i="28"/>
  <c r="K35" i="28"/>
  <c r="P35" i="28"/>
  <c r="P34" i="28"/>
  <c r="K34" i="28"/>
  <c r="K33" i="28"/>
  <c r="P33" i="28"/>
  <c r="K32" i="28"/>
  <c r="P12" i="28"/>
  <c r="K31" i="28"/>
  <c r="P30" i="28"/>
  <c r="L30" i="28"/>
  <c r="K30" i="28"/>
  <c r="P29" i="28"/>
  <c r="K29" i="28"/>
  <c r="K28" i="28"/>
  <c r="L28" i="28"/>
  <c r="P28" i="28"/>
  <c r="P24" i="28"/>
  <c r="P27" i="28"/>
  <c r="K27" i="28"/>
  <c r="L27" i="28"/>
  <c r="K26" i="28"/>
  <c r="P26" i="28"/>
  <c r="K25" i="28"/>
  <c r="P25" i="28"/>
  <c r="L24" i="28"/>
  <c r="K24" i="28"/>
  <c r="K23" i="28"/>
  <c r="P23" i="28"/>
  <c r="L22" i="28"/>
  <c r="K22" i="28"/>
  <c r="P22" i="28"/>
  <c r="P18" i="28"/>
  <c r="K21" i="28"/>
  <c r="P21" i="28"/>
  <c r="L20" i="28"/>
  <c r="K20" i="28"/>
  <c r="P20" i="28"/>
  <c r="L19" i="28"/>
  <c r="K19" i="28"/>
  <c r="P19" i="28"/>
  <c r="P16" i="28"/>
  <c r="L18" i="28"/>
  <c r="K18" i="28"/>
  <c r="Q12" i="28"/>
  <c r="P14" i="28"/>
  <c r="P17" i="28"/>
  <c r="P15" i="28"/>
  <c r="K17" i="28"/>
  <c r="L16" i="28"/>
  <c r="K16" i="28"/>
  <c r="L15" i="28"/>
  <c r="P11" i="28"/>
  <c r="L14" i="28"/>
  <c r="K14" i="28"/>
  <c r="P13" i="28"/>
  <c r="A13" i="28" a="1"/>
  <c r="A13" i="28" s="1"/>
  <c r="K13" i="28"/>
  <c r="P8" i="28"/>
  <c r="L12" i="28" a="1"/>
  <c r="L12" i="28" s="1"/>
  <c r="O12" i="28" a="1"/>
  <c r="O12" i="28" s="1"/>
  <c r="R12" i="28"/>
  <c r="K11" i="28"/>
  <c r="K10" i="28"/>
  <c r="A10" i="28" a="1"/>
  <c r="A10" i="28" s="1"/>
  <c r="O10" i="28" s="1" a="1"/>
  <c r="O10" i="28" s="1"/>
  <c r="P10" i="28"/>
  <c r="P9" i="28"/>
  <c r="Q9" i="28"/>
  <c r="P5" i="28"/>
  <c r="O9" i="28" a="1"/>
  <c r="O9" i="28" s="1"/>
  <c r="R9" i="28"/>
  <c r="L9" i="28" a="1"/>
  <c r="L9" i="28" s="1"/>
  <c r="K8" i="28"/>
  <c r="P4" i="28"/>
  <c r="K7" i="28"/>
  <c r="P7" i="28"/>
  <c r="P6" i="28"/>
  <c r="K6" i="28"/>
  <c r="A6" i="28" a="1"/>
  <c r="A6" i="28" s="1"/>
  <c r="A7" i="28" s="1" a="1"/>
  <c r="A7" i="28" s="1"/>
  <c r="A8" i="28" s="1" a="1"/>
  <c r="A8" i="28" s="1"/>
  <c r="Q5" i="28"/>
  <c r="R5" i="28"/>
  <c r="O5" i="28" a="1"/>
  <c r="O5" i="28" s="1"/>
  <c r="L5" i="28" a="1"/>
  <c r="L5" i="28" s="1"/>
  <c r="K4" i="28"/>
  <c r="K3" i="28"/>
  <c r="P3" i="28"/>
  <c r="I57" i="1"/>
  <c r="I56" i="1"/>
  <c r="I33" i="1"/>
  <c r="I32" i="1"/>
  <c r="I7" i="1"/>
  <c r="I6" i="1"/>
  <c r="I55" i="1"/>
  <c r="I54" i="1"/>
  <c r="I53" i="1"/>
  <c r="I31" i="1"/>
  <c r="I30" i="1"/>
  <c r="I29" i="1"/>
  <c r="L36" i="28" a="1"/>
  <c r="L35" i="28" a="1"/>
  <c r="L34" i="28" a="1"/>
  <c r="L33" i="28" a="1"/>
  <c r="L32" i="28" a="1"/>
  <c r="L31" i="28" a="1"/>
  <c r="L29" i="28" a="1"/>
  <c r="L26" i="28" a="1"/>
  <c r="L25" i="28" a="1"/>
  <c r="L23" i="28" a="1"/>
  <c r="L21" i="28" a="1"/>
  <c r="L17" i="28" a="1"/>
  <c r="K15" i="28" a="1"/>
  <c r="L13" i="28" a="1"/>
  <c r="L11" i="28" a="1"/>
  <c r="L10" i="28" a="1"/>
  <c r="L8" i="28" a="1"/>
  <c r="L7" i="28" a="1"/>
  <c r="L6" i="28" a="1"/>
  <c r="L4" i="28" a="1"/>
  <c r="L3" i="28" a="1"/>
  <c r="F961" i="26" l="1"/>
  <c r="E961" i="26"/>
  <c r="J961" i="26"/>
  <c r="H961" i="26"/>
  <c r="G961" i="26"/>
  <c r="P798" i="26"/>
  <c r="H799" i="26"/>
  <c r="F1169" i="26"/>
  <c r="F991" i="26"/>
  <c r="P991" i="26" s="1"/>
  <c r="U991" i="26" s="1"/>
  <c r="C993" i="26"/>
  <c r="D992" i="26"/>
  <c r="L992" i="26" s="1"/>
  <c r="E992" i="26"/>
  <c r="F877" i="26"/>
  <c r="E875" i="26"/>
  <c r="C874" i="26"/>
  <c r="M873" i="26"/>
  <c r="Q873" i="26" s="1"/>
  <c r="P872" i="26"/>
  <c r="S872" i="26" s="1"/>
  <c r="I798" i="26"/>
  <c r="Q797" i="26"/>
  <c r="T871" i="26"/>
  <c r="N995" i="26"/>
  <c r="T995" i="26" s="1"/>
  <c r="G995" i="26"/>
  <c r="M996" i="26"/>
  <c r="R990" i="26"/>
  <c r="V990" i="26" s="1"/>
  <c r="P871" i="26"/>
  <c r="S871" i="26" s="1"/>
  <c r="E1169" i="26"/>
  <c r="C1168" i="26"/>
  <c r="K1167" i="26"/>
  <c r="H995" i="26"/>
  <c r="I995" i="26"/>
  <c r="O996" i="26"/>
  <c r="D965" i="26"/>
  <c r="K965" i="26"/>
  <c r="X969" i="26"/>
  <c r="I965" i="26"/>
  <c r="X966" i="26"/>
  <c r="C965" i="26"/>
  <c r="J994" i="26"/>
  <c r="Q995" i="26"/>
  <c r="K994" i="26"/>
  <c r="P1166" i="26"/>
  <c r="T1166" i="26"/>
  <c r="S1166" i="26"/>
  <c r="Q38" i="28"/>
  <c r="Q37" i="28"/>
  <c r="L36" i="28"/>
  <c r="Q36" i="28"/>
  <c r="L35" i="28"/>
  <c r="Q35" i="28" s="1"/>
  <c r="L34" i="28"/>
  <c r="Q34" i="28" s="1"/>
  <c r="L33" i="28"/>
  <c r="Q33" i="28" s="1"/>
  <c r="L32" i="28"/>
  <c r="Q32" i="28" s="1"/>
  <c r="L31" i="28"/>
  <c r="Q31" i="28" s="1"/>
  <c r="Q30" i="28"/>
  <c r="L29" i="28"/>
  <c r="Q29" i="28" s="1"/>
  <c r="Q27" i="28"/>
  <c r="Q28" i="28"/>
  <c r="L26" i="28"/>
  <c r="Q26" i="28" s="1"/>
  <c r="Q24" i="28"/>
  <c r="L25" i="28"/>
  <c r="Q25" i="28" s="1"/>
  <c r="Q22" i="28"/>
  <c r="L23" i="28"/>
  <c r="Q23" i="28" s="1"/>
  <c r="L21" i="28"/>
  <c r="Q21" i="28" s="1"/>
  <c r="Q20" i="28"/>
  <c r="Q19" i="28"/>
  <c r="Q16" i="28"/>
  <c r="Q14" i="28"/>
  <c r="Q18" i="28"/>
  <c r="L17" i="28"/>
  <c r="Q17" i="28" s="1"/>
  <c r="S5" i="28"/>
  <c r="K15" i="28"/>
  <c r="Q15" i="28" s="1"/>
  <c r="O13" i="28" a="1"/>
  <c r="O13" i="28" s="1"/>
  <c r="A14" i="28" a="1"/>
  <c r="A14" i="28" s="1"/>
  <c r="A15" i="28" s="1" a="1"/>
  <c r="A15" i="28" s="1"/>
  <c r="A16" i="28" s="1" a="1"/>
  <c r="A16" i="28" s="1"/>
  <c r="A17" i="28" s="1" a="1"/>
  <c r="A17" i="28" s="1"/>
  <c r="A18" i="28" s="1" a="1"/>
  <c r="A18" i="28" s="1"/>
  <c r="A19" i="28" s="1" a="1"/>
  <c r="A19" i="28" s="1"/>
  <c r="A20" i="28" s="1" a="1"/>
  <c r="A20" i="28" s="1"/>
  <c r="A21" i="28" s="1" a="1"/>
  <c r="A21" i="28" s="1"/>
  <c r="A22" i="28" s="1" a="1"/>
  <c r="A22" i="28" s="1"/>
  <c r="A23" i="28" s="1" a="1"/>
  <c r="A23" i="28" s="1"/>
  <c r="A24" i="28" s="1" a="1"/>
  <c r="A24" i="28" s="1"/>
  <c r="A25" i="28" s="1" a="1"/>
  <c r="A25" i="28" s="1"/>
  <c r="A26" i="28" s="1" a="1"/>
  <c r="A26" i="28" s="1"/>
  <c r="A27" i="28" s="1" a="1"/>
  <c r="A27" i="28" s="1"/>
  <c r="A28" i="28" s="1" a="1"/>
  <c r="A28" i="28" s="1"/>
  <c r="A29" i="28" s="1" a="1"/>
  <c r="A29" i="28" s="1"/>
  <c r="A30" i="28" s="1" a="1"/>
  <c r="A30" i="28" s="1"/>
  <c r="A31" i="28" s="1" a="1"/>
  <c r="A31" i="28" s="1"/>
  <c r="A32" i="28" s="1" a="1"/>
  <c r="A32" i="28" s="1"/>
  <c r="A33" i="28" s="1" a="1"/>
  <c r="A33" i="28" s="1"/>
  <c r="A34" i="28" s="1" a="1"/>
  <c r="A34" i="28" s="1"/>
  <c r="A35" i="28" s="1" a="1"/>
  <c r="A35" i="28" s="1"/>
  <c r="A36" i="28" s="1" a="1"/>
  <c r="A36" i="28" s="1"/>
  <c r="A37" i="28" s="1" a="1"/>
  <c r="A37" i="28" s="1"/>
  <c r="A38" i="28" s="1" a="1"/>
  <c r="A38" i="28" s="1"/>
  <c r="S12" i="28"/>
  <c r="L13" i="28"/>
  <c r="Q13" i="28" s="1"/>
  <c r="R13" i="28" s="1"/>
  <c r="S9" i="28"/>
  <c r="L11" i="28"/>
  <c r="Q11" i="28" s="1"/>
  <c r="A11" i="28" a="1"/>
  <c r="A11" i="28" s="1"/>
  <c r="L10" i="28"/>
  <c r="Q10" i="28" s="1"/>
  <c r="R10" i="28" s="1"/>
  <c r="S10" i="28" s="1"/>
  <c r="L8" i="28"/>
  <c r="Q8" i="28" s="1"/>
  <c r="O8" i="28" a="1"/>
  <c r="O8" i="28" s="1"/>
  <c r="R8" i="28"/>
  <c r="L7" i="28"/>
  <c r="Q7" i="28" s="1"/>
  <c r="R7" i="28" s="1"/>
  <c r="O7" i="28" a="1"/>
  <c r="O7" i="28" s="1"/>
  <c r="L6" i="28"/>
  <c r="Q6" i="28" s="1"/>
  <c r="R6" i="28" s="1"/>
  <c r="O6" i="28" a="1"/>
  <c r="O6" i="28" s="1"/>
  <c r="L4" i="28"/>
  <c r="Q4" i="28" s="1"/>
  <c r="L3" i="28"/>
  <c r="Q3" i="28" s="1"/>
  <c r="C431" i="26"/>
  <c r="C432" i="26" s="1"/>
  <c r="C430" i="26"/>
  <c r="E965" i="26" l="1"/>
  <c r="J965" i="26"/>
  <c r="H965" i="26"/>
  <c r="G965" i="26"/>
  <c r="F965" i="26"/>
  <c r="T872" i="26"/>
  <c r="C875" i="26"/>
  <c r="L875" i="26" s="1"/>
  <c r="F992" i="26"/>
  <c r="P992" i="26" s="1"/>
  <c r="U992" i="26" s="1"/>
  <c r="L874" i="26"/>
  <c r="H800" i="26"/>
  <c r="I996" i="26"/>
  <c r="H996" i="26"/>
  <c r="O997" i="26"/>
  <c r="F878" i="26"/>
  <c r="X970" i="26"/>
  <c r="I969" i="26"/>
  <c r="D969" i="26"/>
  <c r="C969" i="26"/>
  <c r="K969" i="26"/>
  <c r="E876" i="26"/>
  <c r="N996" i="26"/>
  <c r="T996" i="26" s="1"/>
  <c r="M997" i="26"/>
  <c r="G996" i="26"/>
  <c r="P1167" i="26"/>
  <c r="S1167" i="26"/>
  <c r="T1167" i="26"/>
  <c r="E993" i="26"/>
  <c r="D993" i="26"/>
  <c r="L993" i="26" s="1"/>
  <c r="C994" i="26"/>
  <c r="K995" i="26"/>
  <c r="J995" i="26"/>
  <c r="Q996" i="26"/>
  <c r="C1169" i="26"/>
  <c r="K1168" i="26"/>
  <c r="I799" i="26"/>
  <c r="P799" i="26" s="1"/>
  <c r="Q798" i="26"/>
  <c r="R991" i="26"/>
  <c r="V991" i="26" s="1"/>
  <c r="E1170" i="26"/>
  <c r="F1170" i="26"/>
  <c r="P873" i="26"/>
  <c r="S6" i="28"/>
  <c r="S7" i="28"/>
  <c r="S13" i="28"/>
  <c r="S8" i="28"/>
  <c r="O38" i="28" a="1"/>
  <c r="O38" i="28" s="1"/>
  <c r="R38" i="28"/>
  <c r="O37" i="28" a="1"/>
  <c r="O37" i="28" s="1"/>
  <c r="R37" i="28"/>
  <c r="O36" i="28" a="1"/>
  <c r="O36" i="28" s="1"/>
  <c r="R36" i="28"/>
  <c r="O35" i="28" a="1"/>
  <c r="O35" i="28" s="1"/>
  <c r="R35" i="28"/>
  <c r="O34" i="28" a="1"/>
  <c r="O34" i="28" s="1"/>
  <c r="R34" i="28"/>
  <c r="O33" i="28" a="1"/>
  <c r="O33" i="28" s="1"/>
  <c r="R33" i="28"/>
  <c r="O32" i="28" a="1"/>
  <c r="O32" i="28" s="1"/>
  <c r="R32" i="28"/>
  <c r="O31" i="28" a="1"/>
  <c r="O31" i="28" s="1"/>
  <c r="R31" i="28"/>
  <c r="R30" i="28"/>
  <c r="O30" i="28" a="1"/>
  <c r="O30" i="28" s="1"/>
  <c r="O29" i="28" a="1"/>
  <c r="O29" i="28" s="1"/>
  <c r="R29" i="28"/>
  <c r="R28" i="28"/>
  <c r="O28" i="28" a="1"/>
  <c r="O28" i="28" s="1"/>
  <c r="R27" i="28"/>
  <c r="O27" i="28" a="1"/>
  <c r="O27" i="28" s="1"/>
  <c r="O26" i="28" a="1"/>
  <c r="O26" i="28" s="1"/>
  <c r="R26" i="28"/>
  <c r="O25" i="28" a="1"/>
  <c r="O25" i="28" s="1"/>
  <c r="R25" i="28"/>
  <c r="O24" i="28" a="1"/>
  <c r="O24" i="28" s="1"/>
  <c r="R24" i="28"/>
  <c r="R23" i="28"/>
  <c r="O23" i="28" a="1"/>
  <c r="O23" i="28" s="1"/>
  <c r="O22" i="28" a="1"/>
  <c r="O22" i="28" s="1"/>
  <c r="R22" i="28"/>
  <c r="O21" i="28" a="1"/>
  <c r="O21" i="28" s="1"/>
  <c r="R21" i="28"/>
  <c r="O20" i="28" a="1"/>
  <c r="O20" i="28" s="1"/>
  <c r="R20" i="28"/>
  <c r="O19" i="28" a="1"/>
  <c r="O19" i="28" s="1"/>
  <c r="R19" i="28"/>
  <c r="O18" i="28" a="1"/>
  <c r="O18" i="28" s="1"/>
  <c r="R18" i="28"/>
  <c r="O17" i="28" a="1"/>
  <c r="O17" i="28" s="1"/>
  <c r="R17" i="28"/>
  <c r="O16" i="28" a="1"/>
  <c r="O16" i="28" s="1"/>
  <c r="R16" i="28"/>
  <c r="O15" i="28" a="1"/>
  <c r="O15" i="28" s="1"/>
  <c r="R15" i="28"/>
  <c r="R14" i="28"/>
  <c r="O14" i="28" a="1"/>
  <c r="O14" i="28" s="1"/>
  <c r="O11" i="28" a="1"/>
  <c r="O11" i="28" s="1"/>
  <c r="R11" i="28"/>
  <c r="C433" i="26"/>
  <c r="F879" i="26" l="1"/>
  <c r="P1168" i="26"/>
  <c r="S1168" i="26"/>
  <c r="T1168" i="26"/>
  <c r="C1170" i="26"/>
  <c r="K1169" i="26"/>
  <c r="Q997" i="26"/>
  <c r="K996" i="26"/>
  <c r="J996" i="26"/>
  <c r="E877" i="26"/>
  <c r="T873" i="26"/>
  <c r="S873" i="26"/>
  <c r="H801" i="26"/>
  <c r="P800" i="26"/>
  <c r="F1171" i="26"/>
  <c r="C995" i="26"/>
  <c r="E994" i="26"/>
  <c r="D994" i="26"/>
  <c r="L994" i="26" s="1"/>
  <c r="O998" i="26"/>
  <c r="I997" i="26"/>
  <c r="H997" i="26"/>
  <c r="Q799" i="26"/>
  <c r="I800" i="26"/>
  <c r="F993" i="26"/>
  <c r="P993" i="26" s="1"/>
  <c r="U993" i="26" s="1"/>
  <c r="R992" i="26"/>
  <c r="V992" i="26" s="1"/>
  <c r="C876" i="26"/>
  <c r="L876" i="26" s="1"/>
  <c r="M875" i="26"/>
  <c r="Q875" i="26" s="1"/>
  <c r="M998" i="26"/>
  <c r="G997" i="26"/>
  <c r="N997" i="26"/>
  <c r="T997" i="26" s="1"/>
  <c r="E1171" i="26"/>
  <c r="E969" i="26"/>
  <c r="H969" i="26"/>
  <c r="G969" i="26"/>
  <c r="F969" i="26"/>
  <c r="J969" i="26"/>
  <c r="M874" i="26"/>
  <c r="Q874" i="26" s="1"/>
  <c r="S16" i="28"/>
  <c r="S34" i="28"/>
  <c r="S22" i="28"/>
  <c r="S19" i="28"/>
  <c r="S25" i="28"/>
  <c r="S37" i="28"/>
  <c r="S20" i="28"/>
  <c r="S26" i="28"/>
  <c r="S32" i="28"/>
  <c r="S38" i="28"/>
  <c r="S11" i="28"/>
  <c r="S31" i="28"/>
  <c r="S17" i="28"/>
  <c r="S29" i="28"/>
  <c r="S35" i="28"/>
  <c r="S30" i="28"/>
  <c r="S27" i="28"/>
  <c r="S15" i="28"/>
  <c r="S23" i="28"/>
  <c r="S36" i="28"/>
  <c r="S24" i="28"/>
  <c r="S18" i="28"/>
  <c r="S14" i="28"/>
  <c r="S21" i="28"/>
  <c r="S33" i="28"/>
  <c r="S28" i="28"/>
  <c r="C434" i="26"/>
  <c r="F994" i="26" l="1"/>
  <c r="P994" i="26" s="1"/>
  <c r="U994" i="26" s="1"/>
  <c r="C996" i="26"/>
  <c r="E995" i="26"/>
  <c r="D995" i="26"/>
  <c r="L995" i="26" s="1"/>
  <c r="J997" i="26"/>
  <c r="K997" i="26"/>
  <c r="Q998" i="26"/>
  <c r="R993" i="26"/>
  <c r="V993" i="26" s="1"/>
  <c r="P1169" i="26"/>
  <c r="S1169" i="26"/>
  <c r="T1169" i="26"/>
  <c r="I801" i="26"/>
  <c r="Q800" i="26"/>
  <c r="F1172" i="26"/>
  <c r="K1170" i="26"/>
  <c r="C1171" i="26"/>
  <c r="H802" i="26"/>
  <c r="P801" i="26"/>
  <c r="E1172" i="26"/>
  <c r="H998" i="26"/>
  <c r="O999" i="26"/>
  <c r="I998" i="26"/>
  <c r="F880" i="26"/>
  <c r="S874" i="26"/>
  <c r="N998" i="26"/>
  <c r="T998" i="26" s="1"/>
  <c r="G998" i="26"/>
  <c r="M999" i="26"/>
  <c r="T874" i="26"/>
  <c r="E878" i="26"/>
  <c r="P874" i="26"/>
  <c r="C877" i="26"/>
  <c r="M876" i="26"/>
  <c r="Q876" i="26" s="1"/>
  <c r="P875" i="26"/>
  <c r="S875" i="26" s="1"/>
  <c r="C435" i="26"/>
  <c r="E879" i="26" l="1"/>
  <c r="E1173" i="26"/>
  <c r="K998" i="26"/>
  <c r="J998" i="26"/>
  <c r="Q999" i="26"/>
  <c r="M1000" i="26"/>
  <c r="G999" i="26"/>
  <c r="N999" i="26"/>
  <c r="T999" i="26" s="1"/>
  <c r="H803" i="26"/>
  <c r="C1172" i="26"/>
  <c r="K1171" i="26"/>
  <c r="F995" i="26"/>
  <c r="P995" i="26" s="1"/>
  <c r="U995" i="26" s="1"/>
  <c r="C997" i="26"/>
  <c r="E996" i="26"/>
  <c r="D996" i="26"/>
  <c r="L996" i="26" s="1"/>
  <c r="F881" i="26"/>
  <c r="R994" i="26"/>
  <c r="V994" i="26" s="1"/>
  <c r="P1170" i="26"/>
  <c r="S1170" i="26"/>
  <c r="T1170" i="26"/>
  <c r="I999" i="26"/>
  <c r="H999" i="26"/>
  <c r="O1000" i="26"/>
  <c r="S876" i="26"/>
  <c r="T876" i="26"/>
  <c r="M877" i="26"/>
  <c r="Q877" i="26" s="1"/>
  <c r="C878" i="26"/>
  <c r="F1173" i="26"/>
  <c r="T875" i="26"/>
  <c r="I802" i="26"/>
  <c r="Q801" i="26"/>
  <c r="L877" i="26"/>
  <c r="P876" i="26"/>
  <c r="C436" i="26"/>
  <c r="H804" i="26" l="1"/>
  <c r="F1174" i="26"/>
  <c r="C879" i="26"/>
  <c r="F882" i="26"/>
  <c r="G1000" i="26"/>
  <c r="M1001" i="26"/>
  <c r="N1000" i="26"/>
  <c r="T1000" i="26" s="1"/>
  <c r="K999" i="26"/>
  <c r="J999" i="26"/>
  <c r="Q1000" i="26"/>
  <c r="F996" i="26"/>
  <c r="P996" i="26" s="1"/>
  <c r="U996" i="26" s="1"/>
  <c r="D997" i="26"/>
  <c r="L997" i="26" s="1"/>
  <c r="C998" i="26"/>
  <c r="E997" i="26"/>
  <c r="R995" i="26"/>
  <c r="V995" i="26" s="1"/>
  <c r="E1174" i="26"/>
  <c r="P1171" i="26"/>
  <c r="S1171" i="26"/>
  <c r="T1171" i="26"/>
  <c r="L878" i="26"/>
  <c r="M878" i="26" s="1"/>
  <c r="Q878" i="26" s="1"/>
  <c r="P877" i="26"/>
  <c r="T877" i="26" s="1"/>
  <c r="K1172" i="26"/>
  <c r="C1173" i="26"/>
  <c r="O1001" i="26"/>
  <c r="H1000" i="26"/>
  <c r="I1000" i="26"/>
  <c r="I803" i="26"/>
  <c r="Q802" i="26"/>
  <c r="P802" i="26"/>
  <c r="E880" i="26"/>
  <c r="C437" i="26"/>
  <c r="E1175" i="26" l="1"/>
  <c r="N1001" i="26"/>
  <c r="T1001" i="26" s="1"/>
  <c r="M1002" i="26"/>
  <c r="G1001" i="26"/>
  <c r="F883" i="26"/>
  <c r="F997" i="26"/>
  <c r="P997" i="26" s="1"/>
  <c r="U997" i="26" s="1"/>
  <c r="Q803" i="26"/>
  <c r="I804" i="26"/>
  <c r="C999" i="26"/>
  <c r="E998" i="26"/>
  <c r="D998" i="26"/>
  <c r="L998" i="26" s="1"/>
  <c r="C880" i="26"/>
  <c r="F1175" i="26"/>
  <c r="P1172" i="26"/>
  <c r="S1172" i="26"/>
  <c r="T1172" i="26"/>
  <c r="R996" i="26"/>
  <c r="V996" i="26" s="1"/>
  <c r="K1173" i="26"/>
  <c r="C1174" i="26"/>
  <c r="P878" i="26"/>
  <c r="T878" i="26"/>
  <c r="S878" i="26"/>
  <c r="J1000" i="26"/>
  <c r="Q1001" i="26"/>
  <c r="K1000" i="26"/>
  <c r="P804" i="26"/>
  <c r="H805" i="26"/>
  <c r="I1001" i="26"/>
  <c r="H1001" i="26"/>
  <c r="O1002" i="26"/>
  <c r="S877" i="26"/>
  <c r="L879" i="26"/>
  <c r="M879" i="26" s="1"/>
  <c r="Q879" i="26" s="1"/>
  <c r="L880" i="26"/>
  <c r="E881" i="26"/>
  <c r="P803" i="26"/>
  <c r="C438" i="26"/>
  <c r="K1174" i="26" l="1"/>
  <c r="C1175" i="26"/>
  <c r="C1000" i="26"/>
  <c r="E999" i="26"/>
  <c r="D999" i="26"/>
  <c r="L999" i="26" s="1"/>
  <c r="I1002" i="26"/>
  <c r="O1003" i="26"/>
  <c r="H1002" i="26"/>
  <c r="P1173" i="26"/>
  <c r="T1173" i="26"/>
  <c r="S1173" i="26"/>
  <c r="I805" i="26"/>
  <c r="Q804" i="26"/>
  <c r="H806" i="26"/>
  <c r="R997" i="26"/>
  <c r="V997" i="26" s="1"/>
  <c r="F884" i="26"/>
  <c r="Q1002" i="26"/>
  <c r="K1001" i="26"/>
  <c r="J1001" i="26"/>
  <c r="F1176" i="26"/>
  <c r="E882" i="26"/>
  <c r="N1002" i="26"/>
  <c r="T1002" i="26" s="1"/>
  <c r="G1002" i="26"/>
  <c r="M1003" i="26"/>
  <c r="C881" i="26"/>
  <c r="M880" i="26"/>
  <c r="Q880" i="26" s="1"/>
  <c r="P879" i="26"/>
  <c r="S879" i="26" s="1"/>
  <c r="F998" i="26"/>
  <c r="P998" i="26" s="1"/>
  <c r="U998" i="26" s="1"/>
  <c r="E1176" i="26"/>
  <c r="C439" i="26"/>
  <c r="T879" i="26" l="1"/>
  <c r="I806" i="26"/>
  <c r="Q805" i="26"/>
  <c r="F1177" i="26"/>
  <c r="C882" i="26"/>
  <c r="T880" i="26"/>
  <c r="K1002" i="26"/>
  <c r="J1002" i="26"/>
  <c r="Q1003" i="26"/>
  <c r="I1003" i="26"/>
  <c r="H1003" i="26"/>
  <c r="O1004" i="26"/>
  <c r="P880" i="26"/>
  <c r="S880" i="26" s="1"/>
  <c r="G1003" i="26"/>
  <c r="M1004" i="26"/>
  <c r="N1003" i="26"/>
  <c r="T1003" i="26" s="1"/>
  <c r="F999" i="26"/>
  <c r="P999" i="26" s="1"/>
  <c r="U999" i="26" s="1"/>
  <c r="E1000" i="26"/>
  <c r="C1001" i="26"/>
  <c r="D1000" i="26"/>
  <c r="L1000" i="26" s="1"/>
  <c r="R998" i="26"/>
  <c r="V998" i="26" s="1"/>
  <c r="P805" i="26"/>
  <c r="H807" i="26"/>
  <c r="P806" i="26"/>
  <c r="K1175" i="26"/>
  <c r="C1176" i="26"/>
  <c r="F885" i="26"/>
  <c r="E1177" i="26"/>
  <c r="E883" i="26"/>
  <c r="L881" i="26"/>
  <c r="M881" i="26" s="1"/>
  <c r="Q881" i="26" s="1"/>
  <c r="P1174" i="26"/>
  <c r="S1174" i="26"/>
  <c r="T1174" i="26"/>
  <c r="C440" i="26"/>
  <c r="J1003" i="26" l="1"/>
  <c r="Q1004" i="26"/>
  <c r="K1003" i="26"/>
  <c r="C1002" i="26"/>
  <c r="E1001" i="26"/>
  <c r="D1001" i="26"/>
  <c r="L1001" i="26" s="1"/>
  <c r="E1178" i="26"/>
  <c r="F1000" i="26"/>
  <c r="P1000" i="26" s="1"/>
  <c r="U1000" i="26" s="1"/>
  <c r="F886" i="26"/>
  <c r="R999" i="26"/>
  <c r="V999" i="26" s="1"/>
  <c r="C883" i="26"/>
  <c r="K1176" i="26"/>
  <c r="C1177" i="26"/>
  <c r="N1004" i="26"/>
  <c r="T1004" i="26" s="1"/>
  <c r="M1005" i="26"/>
  <c r="G1004" i="26"/>
  <c r="F1178" i="26"/>
  <c r="E884" i="26"/>
  <c r="L883" i="26"/>
  <c r="P1175" i="26"/>
  <c r="T1175" i="26"/>
  <c r="S1175" i="26"/>
  <c r="H808" i="26"/>
  <c r="P807" i="26"/>
  <c r="O1005" i="26"/>
  <c r="I1004" i="26"/>
  <c r="H1004" i="26"/>
  <c r="P881" i="26"/>
  <c r="S881" i="26" s="1"/>
  <c r="I807" i="26"/>
  <c r="Q806" i="26"/>
  <c r="L882" i="26"/>
  <c r="C441" i="26"/>
  <c r="T881" i="26" l="1"/>
  <c r="E885" i="26"/>
  <c r="F887" i="26"/>
  <c r="F1179" i="26"/>
  <c r="R1000" i="26"/>
  <c r="V1000" i="26" s="1"/>
  <c r="E1179" i="26"/>
  <c r="O1006" i="26"/>
  <c r="I1005" i="26"/>
  <c r="H1005" i="26"/>
  <c r="M1006" i="26"/>
  <c r="N1005" i="26"/>
  <c r="T1005" i="26" s="1"/>
  <c r="G1005" i="26"/>
  <c r="C1178" i="26"/>
  <c r="K1177" i="26"/>
  <c r="F1001" i="26"/>
  <c r="P1001" i="26" s="1"/>
  <c r="U1001" i="26" s="1"/>
  <c r="P1176" i="26"/>
  <c r="S1176" i="26"/>
  <c r="T1176" i="26"/>
  <c r="D1002" i="26"/>
  <c r="L1002" i="26" s="1"/>
  <c r="E1002" i="26"/>
  <c r="C1003" i="26"/>
  <c r="H809" i="26"/>
  <c r="P808" i="26"/>
  <c r="M883" i="26"/>
  <c r="Q883" i="26" s="1"/>
  <c r="C884" i="26"/>
  <c r="P882" i="26"/>
  <c r="S882" i="26" s="1"/>
  <c r="M882" i="26"/>
  <c r="Q882" i="26" s="1"/>
  <c r="K1004" i="26"/>
  <c r="Q1005" i="26"/>
  <c r="J1004" i="26"/>
  <c r="I808" i="26"/>
  <c r="Q807" i="26"/>
  <c r="C442" i="26"/>
  <c r="T882" i="26" l="1"/>
  <c r="F1180" i="26"/>
  <c r="C885" i="26"/>
  <c r="P1177" i="26"/>
  <c r="T1177" i="26"/>
  <c r="S1177" i="26"/>
  <c r="K1178" i="26"/>
  <c r="C1179" i="26"/>
  <c r="F888" i="26"/>
  <c r="H810" i="26"/>
  <c r="Q808" i="26"/>
  <c r="I809" i="26"/>
  <c r="P809" i="26" s="1"/>
  <c r="E1003" i="26"/>
  <c r="C1004" i="26"/>
  <c r="D1003" i="26"/>
  <c r="L1003" i="26" s="1"/>
  <c r="M1007" i="26"/>
  <c r="N1006" i="26"/>
  <c r="T1006" i="26" s="1"/>
  <c r="G1006" i="26"/>
  <c r="E886" i="26"/>
  <c r="R1001" i="26"/>
  <c r="V1001" i="26" s="1"/>
  <c r="F1002" i="26"/>
  <c r="P1002" i="26" s="1"/>
  <c r="U1002" i="26" s="1"/>
  <c r="L884" i="26"/>
  <c r="M884" i="26" s="1"/>
  <c r="Q884" i="26" s="1"/>
  <c r="Q1006" i="26"/>
  <c r="K1005" i="26"/>
  <c r="J1005" i="26"/>
  <c r="I1006" i="26"/>
  <c r="O1007" i="26"/>
  <c r="H1006" i="26"/>
  <c r="E1180" i="26"/>
  <c r="P883" i="26"/>
  <c r="T883" i="26" s="1"/>
  <c r="C443" i="26"/>
  <c r="F889" i="26" l="1"/>
  <c r="O1008" i="26"/>
  <c r="I1007" i="26"/>
  <c r="H1007" i="26"/>
  <c r="E887" i="26"/>
  <c r="L886" i="26"/>
  <c r="C1180" i="26"/>
  <c r="K1179" i="26"/>
  <c r="P1178" i="26"/>
  <c r="T1178" i="26"/>
  <c r="S1178" i="26"/>
  <c r="N1007" i="26"/>
  <c r="T1007" i="26" s="1"/>
  <c r="G1007" i="26"/>
  <c r="M1008" i="26"/>
  <c r="D1004" i="26"/>
  <c r="L1004" i="26" s="1"/>
  <c r="E1004" i="26"/>
  <c r="C1005" i="26"/>
  <c r="J1006" i="26"/>
  <c r="K1006" i="26"/>
  <c r="Q1007" i="26"/>
  <c r="F1003" i="26"/>
  <c r="P1003" i="26" s="1"/>
  <c r="U1003" i="26" s="1"/>
  <c r="C886" i="26"/>
  <c r="P884" i="26"/>
  <c r="T884" i="26" s="1"/>
  <c r="F1181" i="26"/>
  <c r="R1002" i="26"/>
  <c r="V1002" i="26" s="1"/>
  <c r="E1181" i="26"/>
  <c r="I810" i="26"/>
  <c r="Q809" i="26"/>
  <c r="S883" i="26"/>
  <c r="L885" i="26"/>
  <c r="H811" i="26"/>
  <c r="C444" i="26"/>
  <c r="R1003" i="26" l="1"/>
  <c r="V1003" i="26" s="1"/>
  <c r="I811" i="26"/>
  <c r="Q810" i="26"/>
  <c r="J1007" i="26"/>
  <c r="K1007" i="26"/>
  <c r="Q1008" i="26"/>
  <c r="P1179" i="26"/>
  <c r="T1179" i="26"/>
  <c r="S1179" i="26"/>
  <c r="C1181" i="26"/>
  <c r="K1180" i="26"/>
  <c r="D1005" i="26"/>
  <c r="L1005" i="26" s="1"/>
  <c r="C1006" i="26"/>
  <c r="E1005" i="26"/>
  <c r="F1004" i="26"/>
  <c r="P1004" i="26" s="1"/>
  <c r="U1004" i="26" s="1"/>
  <c r="E888" i="26"/>
  <c r="F1182" i="26"/>
  <c r="S884" i="26"/>
  <c r="G1008" i="26"/>
  <c r="M1009" i="26"/>
  <c r="N1008" i="26"/>
  <c r="T1008" i="26" s="1"/>
  <c r="E1182" i="26"/>
  <c r="H1008" i="26"/>
  <c r="I1008" i="26"/>
  <c r="O1009" i="26"/>
  <c r="P811" i="26"/>
  <c r="H812" i="26"/>
  <c r="F890" i="26"/>
  <c r="P810" i="26"/>
  <c r="M885" i="26"/>
  <c r="Q885" i="26" s="1"/>
  <c r="M886" i="26"/>
  <c r="Q886" i="26" s="1"/>
  <c r="C887" i="26"/>
  <c r="L887" i="26" s="1"/>
  <c r="M444" i="26"/>
  <c r="C445" i="26"/>
  <c r="R444" i="26"/>
  <c r="Q444" i="26"/>
  <c r="P444" i="26"/>
  <c r="N444" i="26"/>
  <c r="P1180" i="26" l="1"/>
  <c r="T1180" i="26"/>
  <c r="S1180" i="26"/>
  <c r="H813" i="26"/>
  <c r="F1183" i="26"/>
  <c r="C1182" i="26"/>
  <c r="K1181" i="26"/>
  <c r="E889" i="26"/>
  <c r="R1004" i="26"/>
  <c r="V1004" i="26" s="1"/>
  <c r="K1008" i="26"/>
  <c r="J1008" i="26"/>
  <c r="Q1009" i="26"/>
  <c r="E1183" i="26"/>
  <c r="P886" i="26"/>
  <c r="S886" i="26" s="1"/>
  <c r="C888" i="26"/>
  <c r="M887" i="26"/>
  <c r="Q887" i="26" s="1"/>
  <c r="P885" i="26"/>
  <c r="S885" i="26" s="1"/>
  <c r="G1009" i="26"/>
  <c r="M1010" i="26"/>
  <c r="N1009" i="26"/>
  <c r="T1009" i="26" s="1"/>
  <c r="F1005" i="26"/>
  <c r="P1005" i="26" s="1"/>
  <c r="U1005" i="26" s="1"/>
  <c r="Q811" i="26"/>
  <c r="I812" i="26"/>
  <c r="P812" i="26" s="1"/>
  <c r="D1006" i="26"/>
  <c r="L1006" i="26" s="1"/>
  <c r="E1006" i="26"/>
  <c r="C1007" i="26"/>
  <c r="I1009" i="26"/>
  <c r="H1009" i="26"/>
  <c r="O1010" i="26"/>
  <c r="F891" i="26"/>
  <c r="P445" i="26"/>
  <c r="N445" i="26"/>
  <c r="M445" i="26"/>
  <c r="C446" i="26"/>
  <c r="R445" i="26"/>
  <c r="Q445" i="26"/>
  <c r="C889" i="26" l="1"/>
  <c r="P1181" i="26"/>
  <c r="S1181" i="26"/>
  <c r="T1181" i="26"/>
  <c r="K1182" i="26"/>
  <c r="C1183" i="26"/>
  <c r="T886" i="26"/>
  <c r="F1184" i="26"/>
  <c r="R1005" i="26"/>
  <c r="V1005" i="26" s="1"/>
  <c r="E1184" i="26"/>
  <c r="J1009" i="26"/>
  <c r="K1009" i="26"/>
  <c r="Q1010" i="26"/>
  <c r="H814" i="26"/>
  <c r="I1010" i="26"/>
  <c r="H1010" i="26"/>
  <c r="O1011" i="26"/>
  <c r="I813" i="26"/>
  <c r="Q812" i="26"/>
  <c r="N1010" i="26"/>
  <c r="T1010" i="26" s="1"/>
  <c r="M1011" i="26"/>
  <c r="G1010" i="26"/>
  <c r="T885" i="26"/>
  <c r="L888" i="26"/>
  <c r="C1008" i="26"/>
  <c r="D1007" i="26"/>
  <c r="L1007" i="26" s="1"/>
  <c r="E1007" i="26"/>
  <c r="F892" i="26"/>
  <c r="F1006" i="26"/>
  <c r="P1006" i="26" s="1"/>
  <c r="U1006" i="26" s="1"/>
  <c r="L889" i="26"/>
  <c r="E890" i="26"/>
  <c r="P887" i="26"/>
  <c r="R446" i="26"/>
  <c r="Q446" i="26"/>
  <c r="P446" i="26"/>
  <c r="N446" i="26"/>
  <c r="M446" i="26"/>
  <c r="C447" i="26"/>
  <c r="E1185" i="26" l="1"/>
  <c r="R1006" i="26"/>
  <c r="V1006" i="26" s="1"/>
  <c r="I814" i="26"/>
  <c r="Q813" i="26"/>
  <c r="F893" i="26"/>
  <c r="O1012" i="26"/>
  <c r="I1011" i="26"/>
  <c r="H1011" i="26"/>
  <c r="F1185" i="26"/>
  <c r="C1184" i="26"/>
  <c r="K1183" i="26"/>
  <c r="P813" i="26"/>
  <c r="P1182" i="26"/>
  <c r="S1182" i="26"/>
  <c r="T1182" i="26"/>
  <c r="H815" i="26"/>
  <c r="P814" i="26"/>
  <c r="J1010" i="26"/>
  <c r="Q1011" i="26"/>
  <c r="K1010" i="26"/>
  <c r="T887" i="26"/>
  <c r="S887" i="26"/>
  <c r="E891" i="26"/>
  <c r="M888" i="26"/>
  <c r="Q888" i="26" s="1"/>
  <c r="F1007" i="26"/>
  <c r="P1007" i="26" s="1"/>
  <c r="U1007" i="26" s="1"/>
  <c r="E1008" i="26"/>
  <c r="D1008" i="26"/>
  <c r="L1008" i="26" s="1"/>
  <c r="C1009" i="26"/>
  <c r="M1012" i="26"/>
  <c r="G1011" i="26"/>
  <c r="N1011" i="26"/>
  <c r="T1011" i="26" s="1"/>
  <c r="C890" i="26"/>
  <c r="M889" i="26"/>
  <c r="P889" i="26" s="1"/>
  <c r="C448" i="26"/>
  <c r="R447" i="26"/>
  <c r="Q447" i="26"/>
  <c r="P447" i="26"/>
  <c r="N447" i="26"/>
  <c r="M447" i="26"/>
  <c r="F1008" i="26" l="1"/>
  <c r="P1008" i="26" s="1"/>
  <c r="U1008" i="26" s="1"/>
  <c r="F1186" i="26"/>
  <c r="R1007" i="26"/>
  <c r="V1007" i="26" s="1"/>
  <c r="H1012" i="26"/>
  <c r="O1013" i="26"/>
  <c r="I1012" i="26"/>
  <c r="C891" i="26"/>
  <c r="H816" i="26"/>
  <c r="F894" i="26"/>
  <c r="E892" i="26"/>
  <c r="P888" i="26"/>
  <c r="S888" i="26" s="1"/>
  <c r="L890" i="26"/>
  <c r="M890" i="26" s="1"/>
  <c r="Q890" i="26" s="1"/>
  <c r="I815" i="26"/>
  <c r="Q814" i="26"/>
  <c r="G1012" i="26"/>
  <c r="M1013" i="26"/>
  <c r="N1012" i="26"/>
  <c r="T1012" i="26" s="1"/>
  <c r="P1183" i="26"/>
  <c r="S1183" i="26"/>
  <c r="T1183" i="26"/>
  <c r="Q889" i="26"/>
  <c r="T889" i="26" s="1"/>
  <c r="C1010" i="26"/>
  <c r="E1009" i="26"/>
  <c r="D1009" i="26"/>
  <c r="L1009" i="26" s="1"/>
  <c r="K1011" i="26"/>
  <c r="Q1012" i="26"/>
  <c r="J1011" i="26"/>
  <c r="C1185" i="26"/>
  <c r="K1184" i="26"/>
  <c r="E1186" i="26"/>
  <c r="M448" i="26"/>
  <c r="C449" i="26"/>
  <c r="R448" i="26"/>
  <c r="Q448" i="26"/>
  <c r="P448" i="26"/>
  <c r="N448" i="26"/>
  <c r="C892" i="26" l="1"/>
  <c r="M891" i="26"/>
  <c r="Q891" i="26" s="1"/>
  <c r="F1009" i="26"/>
  <c r="P1009" i="26" s="1"/>
  <c r="U1009" i="26" s="1"/>
  <c r="I816" i="26"/>
  <c r="Q815" i="26"/>
  <c r="P890" i="26"/>
  <c r="T890" i="26" s="1"/>
  <c r="H1013" i="26"/>
  <c r="O1014" i="26"/>
  <c r="I1013" i="26"/>
  <c r="L891" i="26"/>
  <c r="T888" i="26"/>
  <c r="S889" i="26"/>
  <c r="P1184" i="26"/>
  <c r="S1184" i="26"/>
  <c r="T1184" i="26"/>
  <c r="F895" i="26"/>
  <c r="F1187" i="26"/>
  <c r="K1185" i="26"/>
  <c r="C1186" i="26"/>
  <c r="E1010" i="26"/>
  <c r="C1011" i="26"/>
  <c r="D1010" i="26"/>
  <c r="L1010" i="26" s="1"/>
  <c r="E893" i="26"/>
  <c r="L892" i="26"/>
  <c r="E1187" i="26"/>
  <c r="P815" i="26"/>
  <c r="J1012" i="26"/>
  <c r="Q1013" i="26"/>
  <c r="K1012" i="26"/>
  <c r="N1013" i="26"/>
  <c r="T1013" i="26" s="1"/>
  <c r="G1013" i="26"/>
  <c r="M1014" i="26"/>
  <c r="H817" i="26"/>
  <c r="P816" i="26"/>
  <c r="R1008" i="26"/>
  <c r="V1008" i="26" s="1"/>
  <c r="P449" i="26"/>
  <c r="N449" i="26"/>
  <c r="M449" i="26"/>
  <c r="C450" i="26"/>
  <c r="R449" i="26"/>
  <c r="Q449" i="26"/>
  <c r="K1186" i="26" l="1"/>
  <c r="C1187" i="26"/>
  <c r="K1013" i="26"/>
  <c r="J1013" i="26"/>
  <c r="Q1014" i="26"/>
  <c r="P1185" i="26"/>
  <c r="T1185" i="26"/>
  <c r="S1185" i="26"/>
  <c r="H1014" i="26"/>
  <c r="O1015" i="26"/>
  <c r="I1014" i="26"/>
  <c r="F1188" i="26"/>
  <c r="S890" i="26"/>
  <c r="E1188" i="26"/>
  <c r="F896" i="26"/>
  <c r="P892" i="26"/>
  <c r="T892" i="26" s="1"/>
  <c r="E894" i="26"/>
  <c r="Q816" i="26"/>
  <c r="I817" i="26"/>
  <c r="H818" i="26"/>
  <c r="P817" i="26"/>
  <c r="R1009" i="26"/>
  <c r="V1009" i="26" s="1"/>
  <c r="D1011" i="26"/>
  <c r="L1011" i="26" s="1"/>
  <c r="E1011" i="26"/>
  <c r="C1012" i="26"/>
  <c r="N1014" i="26"/>
  <c r="T1014" i="26" s="1"/>
  <c r="M1015" i="26"/>
  <c r="G1014" i="26"/>
  <c r="F1010" i="26"/>
  <c r="P1010" i="26" s="1"/>
  <c r="U1010" i="26" s="1"/>
  <c r="P891" i="26"/>
  <c r="T891" i="26"/>
  <c r="S891" i="26"/>
  <c r="M892" i="26"/>
  <c r="Q892" i="26" s="1"/>
  <c r="C893" i="26"/>
  <c r="L893" i="26" s="1"/>
  <c r="R450" i="26"/>
  <c r="Q450" i="26"/>
  <c r="P450" i="26"/>
  <c r="N450" i="26"/>
  <c r="M450" i="26"/>
  <c r="C451" i="26"/>
  <c r="F1189" i="26" l="1"/>
  <c r="E895" i="26"/>
  <c r="M1016" i="26"/>
  <c r="G1015" i="26"/>
  <c r="N1015" i="26"/>
  <c r="T1015" i="26" s="1"/>
  <c r="O1016" i="26"/>
  <c r="I1015" i="26"/>
  <c r="H1015" i="26"/>
  <c r="E1012" i="26"/>
  <c r="D1012" i="26"/>
  <c r="L1012" i="26" s="1"/>
  <c r="C1013" i="26"/>
  <c r="M893" i="26"/>
  <c r="Q893" i="26" s="1"/>
  <c r="C894" i="26"/>
  <c r="F897" i="26"/>
  <c r="J1014" i="26"/>
  <c r="Q1015" i="26"/>
  <c r="K1014" i="26"/>
  <c r="S892" i="26"/>
  <c r="E1189" i="26"/>
  <c r="F1011" i="26"/>
  <c r="P1011" i="26" s="1"/>
  <c r="U1011" i="26" s="1"/>
  <c r="K1187" i="26"/>
  <c r="C1188" i="26"/>
  <c r="H819" i="26"/>
  <c r="R1010" i="26"/>
  <c r="V1010" i="26" s="1"/>
  <c r="I818" i="26"/>
  <c r="P818" i="26" s="1"/>
  <c r="Q817" i="26"/>
  <c r="P1186" i="26"/>
  <c r="S1186" i="26"/>
  <c r="T1186" i="26"/>
  <c r="C452" i="26"/>
  <c r="R451" i="26"/>
  <c r="Q451" i="26"/>
  <c r="P451" i="26"/>
  <c r="N451" i="26"/>
  <c r="M451" i="26"/>
  <c r="O1017" i="26" l="1"/>
  <c r="I1016" i="26"/>
  <c r="H1016" i="26"/>
  <c r="N1016" i="26"/>
  <c r="T1016" i="26" s="1"/>
  <c r="M1017" i="26"/>
  <c r="G1016" i="26"/>
  <c r="H820" i="26"/>
  <c r="F898" i="26"/>
  <c r="E896" i="26"/>
  <c r="J1015" i="26"/>
  <c r="K1015" i="26"/>
  <c r="Q1016" i="26"/>
  <c r="C895" i="26"/>
  <c r="L894" i="26"/>
  <c r="E1013" i="26"/>
  <c r="C1014" i="26"/>
  <c r="D1013" i="26"/>
  <c r="L1013" i="26" s="1"/>
  <c r="F1190" i="26"/>
  <c r="F1012" i="26"/>
  <c r="P1012" i="26" s="1"/>
  <c r="U1012" i="26" s="1"/>
  <c r="R1012" i="26"/>
  <c r="V1012" i="26" s="1"/>
  <c r="I819" i="26"/>
  <c r="P819" i="26" s="1"/>
  <c r="Q818" i="26"/>
  <c r="K1188" i="26"/>
  <c r="C1189" i="26"/>
  <c r="P1187" i="26"/>
  <c r="T1187" i="26"/>
  <c r="S1187" i="26"/>
  <c r="R1011" i="26"/>
  <c r="V1011" i="26" s="1"/>
  <c r="E1190" i="26"/>
  <c r="P893" i="26"/>
  <c r="T893" i="26" s="1"/>
  <c r="M452" i="26"/>
  <c r="C453" i="26"/>
  <c r="R452" i="26"/>
  <c r="Q452" i="26"/>
  <c r="P452" i="26"/>
  <c r="N452" i="26"/>
  <c r="F1191" i="26" l="1"/>
  <c r="E897" i="26"/>
  <c r="F899" i="26"/>
  <c r="E1014" i="26"/>
  <c r="C1015" i="26"/>
  <c r="D1014" i="26"/>
  <c r="L1014" i="26" s="1"/>
  <c r="F1013" i="26"/>
  <c r="P1013" i="26" s="1"/>
  <c r="U1013" i="26" s="1"/>
  <c r="P1188" i="26"/>
  <c r="S1188" i="26"/>
  <c r="T1188" i="26"/>
  <c r="H821" i="26"/>
  <c r="C896" i="26"/>
  <c r="M895" i="26"/>
  <c r="Q895" i="26" s="1"/>
  <c r="I820" i="26"/>
  <c r="Q819" i="26"/>
  <c r="M894" i="26"/>
  <c r="Q894" i="26" s="1"/>
  <c r="M1018" i="26"/>
  <c r="G1017" i="26"/>
  <c r="N1017" i="26"/>
  <c r="T1017" i="26" s="1"/>
  <c r="J1016" i="26"/>
  <c r="Q1017" i="26"/>
  <c r="K1016" i="26"/>
  <c r="C1190" i="26"/>
  <c r="K1189" i="26"/>
  <c r="S893" i="26"/>
  <c r="E1191" i="26"/>
  <c r="L895" i="26"/>
  <c r="H1017" i="26"/>
  <c r="O1018" i="26"/>
  <c r="I1017" i="26"/>
  <c r="P453" i="26"/>
  <c r="N453" i="26"/>
  <c r="M453" i="26"/>
  <c r="C454" i="26"/>
  <c r="R453" i="26"/>
  <c r="Q453" i="26"/>
  <c r="E1192" i="26" l="1"/>
  <c r="R1013" i="26"/>
  <c r="V1013" i="26" s="1"/>
  <c r="C897" i="26"/>
  <c r="D1015" i="26"/>
  <c r="L1015" i="26" s="1"/>
  <c r="E1015" i="26"/>
  <c r="C1016" i="26"/>
  <c r="C1191" i="26"/>
  <c r="K1190" i="26"/>
  <c r="F1014" i="26"/>
  <c r="P1014" i="26" s="1"/>
  <c r="U1014" i="26" s="1"/>
  <c r="H822" i="26"/>
  <c r="F900" i="26"/>
  <c r="Q1018" i="26"/>
  <c r="K1017" i="26"/>
  <c r="J1017" i="26"/>
  <c r="E898" i="26"/>
  <c r="L897" i="26"/>
  <c r="P1189" i="26"/>
  <c r="S1189" i="26"/>
  <c r="T1189" i="26"/>
  <c r="P894" i="26"/>
  <c r="I821" i="26"/>
  <c r="Q820" i="26"/>
  <c r="L896" i="26"/>
  <c r="P820" i="26"/>
  <c r="O1019" i="26"/>
  <c r="I1018" i="26"/>
  <c r="H1018" i="26"/>
  <c r="N1018" i="26"/>
  <c r="T1018" i="26" s="1"/>
  <c r="G1018" i="26"/>
  <c r="M1019" i="26"/>
  <c r="F1192" i="26"/>
  <c r="P895" i="26"/>
  <c r="T895" i="26"/>
  <c r="S895" i="26"/>
  <c r="R454" i="26"/>
  <c r="Q454" i="26"/>
  <c r="P454" i="26"/>
  <c r="N454" i="26"/>
  <c r="M454" i="26"/>
  <c r="C455" i="26"/>
  <c r="N1019" i="26" l="1"/>
  <c r="T1019" i="26" s="1"/>
  <c r="M1020" i="26"/>
  <c r="G1019" i="26"/>
  <c r="R1014" i="26"/>
  <c r="V1014" i="26" s="1"/>
  <c r="P1190" i="26"/>
  <c r="T1190" i="26"/>
  <c r="S1190" i="26"/>
  <c r="E899" i="26"/>
  <c r="C1192" i="26"/>
  <c r="K1191" i="26"/>
  <c r="E1016" i="26"/>
  <c r="D1016" i="26"/>
  <c r="L1016" i="26" s="1"/>
  <c r="C1017" i="26"/>
  <c r="F1015" i="26"/>
  <c r="P1015" i="26" s="1"/>
  <c r="U1015" i="26" s="1"/>
  <c r="P896" i="26"/>
  <c r="T896" i="26" s="1"/>
  <c r="J1018" i="26"/>
  <c r="Q1019" i="26"/>
  <c r="K1018" i="26"/>
  <c r="M896" i="26"/>
  <c r="Q896" i="26" s="1"/>
  <c r="C898" i="26"/>
  <c r="L898" i="26" s="1"/>
  <c r="M897" i="26"/>
  <c r="Q897" i="26" s="1"/>
  <c r="H1019" i="26"/>
  <c r="O1020" i="26"/>
  <c r="I1019" i="26"/>
  <c r="F901" i="26"/>
  <c r="Q821" i="26"/>
  <c r="I822" i="26"/>
  <c r="F1193" i="26"/>
  <c r="T894" i="26"/>
  <c r="S894" i="26"/>
  <c r="H823" i="26"/>
  <c r="P821" i="26"/>
  <c r="E1193" i="26"/>
  <c r="C456" i="26"/>
  <c r="R455" i="26"/>
  <c r="Q455" i="26"/>
  <c r="P455" i="26"/>
  <c r="N455" i="26"/>
  <c r="M455" i="26"/>
  <c r="I823" i="26" l="1"/>
  <c r="Q822" i="26"/>
  <c r="S896" i="26"/>
  <c r="E900" i="26"/>
  <c r="F902" i="26"/>
  <c r="O1021" i="26"/>
  <c r="I1020" i="26"/>
  <c r="H1020" i="26"/>
  <c r="R1015" i="26"/>
  <c r="V1015" i="26" s="1"/>
  <c r="D1017" i="26"/>
  <c r="L1017" i="26" s="1"/>
  <c r="C1018" i="26"/>
  <c r="E1017" i="26"/>
  <c r="P897" i="26"/>
  <c r="S897" i="26" s="1"/>
  <c r="H824" i="26"/>
  <c r="P823" i="26"/>
  <c r="F1016" i="26"/>
  <c r="P1016" i="26" s="1"/>
  <c r="U1016" i="26" s="1"/>
  <c r="E1194" i="26"/>
  <c r="P822" i="26"/>
  <c r="P1191" i="26"/>
  <c r="T1191" i="26"/>
  <c r="S1191" i="26"/>
  <c r="M1021" i="26"/>
  <c r="N1020" i="26"/>
  <c r="T1020" i="26" s="1"/>
  <c r="G1020" i="26"/>
  <c r="C899" i="26"/>
  <c r="M898" i="26"/>
  <c r="Q898" i="26" s="1"/>
  <c r="F1194" i="26"/>
  <c r="J1019" i="26"/>
  <c r="Q1020" i="26"/>
  <c r="K1019" i="26"/>
  <c r="C1193" i="26"/>
  <c r="K1192" i="26"/>
  <c r="M456" i="26"/>
  <c r="C457" i="26"/>
  <c r="R456" i="26"/>
  <c r="Q456" i="26"/>
  <c r="P456" i="26"/>
  <c r="N456" i="26"/>
  <c r="C900" i="26" l="1"/>
  <c r="R1016" i="26"/>
  <c r="V1016" i="26" s="1"/>
  <c r="F903" i="26"/>
  <c r="H825" i="26"/>
  <c r="L900" i="26"/>
  <c r="E901" i="26"/>
  <c r="T897" i="26"/>
  <c r="L899" i="26"/>
  <c r="M899" i="26" s="1"/>
  <c r="Q899" i="26" s="1"/>
  <c r="M1022" i="26"/>
  <c r="N1021" i="26"/>
  <c r="T1021" i="26" s="1"/>
  <c r="G1021" i="26"/>
  <c r="F1017" i="26"/>
  <c r="P1017" i="26" s="1"/>
  <c r="U1017" i="26" s="1"/>
  <c r="C1019" i="26"/>
  <c r="E1018" i="26"/>
  <c r="D1018" i="26"/>
  <c r="L1018" i="26" s="1"/>
  <c r="O1022" i="26"/>
  <c r="H1021" i="26"/>
  <c r="I1021" i="26"/>
  <c r="I824" i="26"/>
  <c r="P824" i="26" s="1"/>
  <c r="Q823" i="26"/>
  <c r="P1192" i="26"/>
  <c r="T1192" i="26"/>
  <c r="S1192" i="26"/>
  <c r="J1020" i="26"/>
  <c r="Q1021" i="26"/>
  <c r="K1020" i="26"/>
  <c r="C1194" i="26"/>
  <c r="K1193" i="26"/>
  <c r="F1195" i="26"/>
  <c r="E1195" i="26"/>
  <c r="P898" i="26"/>
  <c r="S898" i="26" s="1"/>
  <c r="P457" i="26"/>
  <c r="N457" i="26"/>
  <c r="M457" i="26"/>
  <c r="C458" i="26"/>
  <c r="R457" i="26"/>
  <c r="Q457" i="26"/>
  <c r="F1196" i="26" l="1"/>
  <c r="K1194" i="26"/>
  <c r="C1195" i="26"/>
  <c r="T898" i="26"/>
  <c r="O1023" i="26"/>
  <c r="H1022" i="26"/>
  <c r="I1022" i="26"/>
  <c r="L901" i="26"/>
  <c r="E902" i="26"/>
  <c r="P1193" i="26"/>
  <c r="S1193" i="26"/>
  <c r="T1193" i="26"/>
  <c r="J1021" i="26"/>
  <c r="K1021" i="26"/>
  <c r="Q1022" i="26"/>
  <c r="F1018" i="26"/>
  <c r="P1018" i="26" s="1"/>
  <c r="U1018" i="26" s="1"/>
  <c r="E1019" i="26"/>
  <c r="D1019" i="26"/>
  <c r="L1019" i="26" s="1"/>
  <c r="C1020" i="26"/>
  <c r="H826" i="26"/>
  <c r="I825" i="26"/>
  <c r="Q824" i="26"/>
  <c r="R1017" i="26"/>
  <c r="V1017" i="26" s="1"/>
  <c r="F904" i="26"/>
  <c r="E1196" i="26"/>
  <c r="P899" i="26"/>
  <c r="S899" i="26" s="1"/>
  <c r="N1022" i="26"/>
  <c r="T1022" i="26" s="1"/>
  <c r="G1022" i="26"/>
  <c r="M1023" i="26"/>
  <c r="C901" i="26"/>
  <c r="M900" i="26"/>
  <c r="Q900" i="26" s="1"/>
  <c r="R458" i="26"/>
  <c r="Q458" i="26"/>
  <c r="P458" i="26"/>
  <c r="N458" i="26"/>
  <c r="M458" i="26"/>
  <c r="C459" i="26"/>
  <c r="E903" i="26" l="1"/>
  <c r="F1019" i="26"/>
  <c r="P1019" i="26" s="1"/>
  <c r="U1019" i="26" s="1"/>
  <c r="E1197" i="26"/>
  <c r="H1023" i="26"/>
  <c r="O1024" i="26"/>
  <c r="I1023" i="26"/>
  <c r="R1018" i="26"/>
  <c r="V1018" i="26" s="1"/>
  <c r="C1196" i="26"/>
  <c r="K1195" i="26"/>
  <c r="T899" i="26"/>
  <c r="F905" i="26"/>
  <c r="C902" i="26"/>
  <c r="M901" i="26"/>
  <c r="P1194" i="26"/>
  <c r="T1194" i="26"/>
  <c r="S1194" i="26"/>
  <c r="N1023" i="26"/>
  <c r="T1023" i="26" s="1"/>
  <c r="M1024" i="26"/>
  <c r="G1023" i="26"/>
  <c r="F1197" i="26"/>
  <c r="Q1023" i="26"/>
  <c r="K1022" i="26"/>
  <c r="J1022" i="26"/>
  <c r="I826" i="26"/>
  <c r="P826" i="26" s="1"/>
  <c r="Q825" i="26"/>
  <c r="P825" i="26"/>
  <c r="H827" i="26"/>
  <c r="D1020" i="26"/>
  <c r="L1020" i="26" s="1"/>
  <c r="C1021" i="26"/>
  <c r="E1020" i="26"/>
  <c r="P900" i="26"/>
  <c r="T900" i="26" s="1"/>
  <c r="C460" i="26"/>
  <c r="R459" i="26"/>
  <c r="Q459" i="26"/>
  <c r="P459" i="26"/>
  <c r="N459" i="26"/>
  <c r="M459" i="26"/>
  <c r="I1024" i="26" l="1"/>
  <c r="H1024" i="26"/>
  <c r="O1025" i="26"/>
  <c r="Q826" i="26"/>
  <c r="I827" i="26"/>
  <c r="Q901" i="26"/>
  <c r="E1198" i="26"/>
  <c r="C903" i="26"/>
  <c r="R1019" i="26"/>
  <c r="V1019" i="26" s="1"/>
  <c r="K1023" i="26"/>
  <c r="J1023" i="26"/>
  <c r="Q1024" i="26"/>
  <c r="F906" i="26"/>
  <c r="H828" i="26"/>
  <c r="P827" i="26"/>
  <c r="P901" i="26"/>
  <c r="T901" i="26" s="1"/>
  <c r="S900" i="26"/>
  <c r="E1021" i="26"/>
  <c r="D1021" i="26"/>
  <c r="L1021" i="26" s="1"/>
  <c r="C1022" i="26"/>
  <c r="F1198" i="26"/>
  <c r="P1195" i="26"/>
  <c r="T1195" i="26"/>
  <c r="S1195" i="26"/>
  <c r="C1197" i="26"/>
  <c r="K1196" i="26"/>
  <c r="E904" i="26"/>
  <c r="R1020" i="26"/>
  <c r="V1020" i="26" s="1"/>
  <c r="F1020" i="26"/>
  <c r="P1020" i="26" s="1"/>
  <c r="U1020" i="26" s="1"/>
  <c r="G1024" i="26"/>
  <c r="M1025" i="26"/>
  <c r="N1024" i="26"/>
  <c r="T1024" i="26" s="1"/>
  <c r="L902" i="26"/>
  <c r="M902" i="26" s="1"/>
  <c r="Q902" i="26" s="1"/>
  <c r="M460" i="26"/>
  <c r="C461" i="26"/>
  <c r="R460" i="26"/>
  <c r="Q460" i="26"/>
  <c r="P460" i="26"/>
  <c r="N460" i="26"/>
  <c r="E905" i="26" l="1"/>
  <c r="P1196" i="26"/>
  <c r="T1196" i="26"/>
  <c r="S1196" i="26"/>
  <c r="E1199" i="26"/>
  <c r="C1198" i="26"/>
  <c r="K1197" i="26"/>
  <c r="H829" i="26"/>
  <c r="P828" i="26"/>
  <c r="S901" i="26"/>
  <c r="F1021" i="26"/>
  <c r="P1021" i="26" s="1"/>
  <c r="U1021" i="26" s="1"/>
  <c r="C904" i="26"/>
  <c r="F907" i="26"/>
  <c r="I828" i="26"/>
  <c r="Q827" i="26"/>
  <c r="L903" i="26"/>
  <c r="P902" i="26"/>
  <c r="S902" i="26" s="1"/>
  <c r="N1025" i="26"/>
  <c r="T1025" i="26" s="1"/>
  <c r="M1026" i="26"/>
  <c r="G1025" i="26"/>
  <c r="J1024" i="26"/>
  <c r="Q1025" i="26"/>
  <c r="K1024" i="26"/>
  <c r="I1025" i="26"/>
  <c r="H1025" i="26"/>
  <c r="O1026" i="26"/>
  <c r="F1199" i="26"/>
  <c r="E1022" i="26"/>
  <c r="C1023" i="26"/>
  <c r="D1022" i="26"/>
  <c r="L1022" i="26" s="1"/>
  <c r="P461" i="26"/>
  <c r="N461" i="26"/>
  <c r="M461" i="26"/>
  <c r="C462" i="26"/>
  <c r="R461" i="26"/>
  <c r="Q461" i="26"/>
  <c r="H830" i="26" l="1"/>
  <c r="P1197" i="26"/>
  <c r="T1197" i="26"/>
  <c r="S1197" i="26"/>
  <c r="K1198" i="26"/>
  <c r="C1199" i="26"/>
  <c r="T902" i="26"/>
  <c r="Q828" i="26"/>
  <c r="I829" i="26"/>
  <c r="P829" i="26" s="1"/>
  <c r="F908" i="26"/>
  <c r="E1200" i="26"/>
  <c r="F1200" i="26"/>
  <c r="M903" i="26"/>
  <c r="Q903" i="26" s="1"/>
  <c r="J1025" i="26"/>
  <c r="K1025" i="26"/>
  <c r="Q1026" i="26"/>
  <c r="C905" i="26"/>
  <c r="I1026" i="26"/>
  <c r="H1026" i="26"/>
  <c r="O1027" i="26"/>
  <c r="E906" i="26"/>
  <c r="D1023" i="26"/>
  <c r="L1023" i="26" s="1"/>
  <c r="E1023" i="26"/>
  <c r="C1024" i="26"/>
  <c r="L904" i="26"/>
  <c r="M1027" i="26"/>
  <c r="N1026" i="26"/>
  <c r="T1026" i="26" s="1"/>
  <c r="G1026" i="26"/>
  <c r="R1021" i="26"/>
  <c r="V1021" i="26" s="1"/>
  <c r="F1022" i="26"/>
  <c r="P1022" i="26" s="1"/>
  <c r="U1022" i="26" s="1"/>
  <c r="R462" i="26"/>
  <c r="Q462" i="26"/>
  <c r="P462" i="26"/>
  <c r="N462" i="26"/>
  <c r="M462" i="26"/>
  <c r="C463" i="26"/>
  <c r="C906" i="26" l="1"/>
  <c r="F1023" i="26"/>
  <c r="P1023" i="26" s="1"/>
  <c r="U1023" i="26" s="1"/>
  <c r="C1200" i="26"/>
  <c r="K1199" i="26"/>
  <c r="J1026" i="26"/>
  <c r="K1026" i="26"/>
  <c r="Q1027" i="26"/>
  <c r="E1024" i="26"/>
  <c r="C1025" i="26"/>
  <c r="D1024" i="26"/>
  <c r="L1024" i="26" s="1"/>
  <c r="G1027" i="26"/>
  <c r="M1028" i="26"/>
  <c r="N1027" i="26"/>
  <c r="T1027" i="26" s="1"/>
  <c r="F1201" i="26"/>
  <c r="L905" i="26"/>
  <c r="E1201" i="26"/>
  <c r="P903" i="26"/>
  <c r="T903" i="26" s="1"/>
  <c r="F909" i="26"/>
  <c r="P1198" i="26"/>
  <c r="T1198" i="26"/>
  <c r="S1198" i="26"/>
  <c r="E907" i="26"/>
  <c r="L906" i="26"/>
  <c r="R1022" i="26"/>
  <c r="V1022" i="26" s="1"/>
  <c r="I1027" i="26"/>
  <c r="H1027" i="26"/>
  <c r="O1028" i="26"/>
  <c r="M904" i="26"/>
  <c r="Q904" i="26" s="1"/>
  <c r="Q829" i="26"/>
  <c r="I830" i="26"/>
  <c r="H831" i="26"/>
  <c r="P830" i="26"/>
  <c r="C464" i="26"/>
  <c r="R463" i="26"/>
  <c r="Q463" i="26"/>
  <c r="P463" i="26"/>
  <c r="N463" i="26"/>
  <c r="M463" i="26"/>
  <c r="J1027" i="26" l="1"/>
  <c r="K1027" i="26"/>
  <c r="Q1028" i="26"/>
  <c r="S903" i="26"/>
  <c r="E1202" i="26"/>
  <c r="P1199" i="26"/>
  <c r="S1199" i="26"/>
  <c r="T1199" i="26"/>
  <c r="C1201" i="26"/>
  <c r="K1200" i="26"/>
  <c r="H832" i="26"/>
  <c r="P831" i="26"/>
  <c r="R1023" i="26"/>
  <c r="V1023" i="26" s="1"/>
  <c r="F1202" i="26"/>
  <c r="L907" i="26"/>
  <c r="E908" i="26"/>
  <c r="I831" i="26"/>
  <c r="Q830" i="26"/>
  <c r="N1028" i="26"/>
  <c r="T1028" i="26" s="1"/>
  <c r="G1028" i="26"/>
  <c r="M1029" i="26"/>
  <c r="M905" i="26"/>
  <c r="Q905" i="26" s="1"/>
  <c r="M906" i="26"/>
  <c r="Q906" i="26" s="1"/>
  <c r="C907" i="26"/>
  <c r="D1025" i="26"/>
  <c r="L1025" i="26" s="1"/>
  <c r="E1025" i="26"/>
  <c r="C1026" i="26"/>
  <c r="O1029" i="26"/>
  <c r="I1028" i="26"/>
  <c r="H1028" i="26"/>
  <c r="F910" i="26"/>
  <c r="F1024" i="26"/>
  <c r="P1024" i="26" s="1"/>
  <c r="U1024" i="26" s="1"/>
  <c r="P904" i="26"/>
  <c r="T904" i="26" s="1"/>
  <c r="M464" i="26"/>
  <c r="C465" i="26"/>
  <c r="R464" i="26"/>
  <c r="Q464" i="26"/>
  <c r="P464" i="26"/>
  <c r="N464" i="26"/>
  <c r="C908" i="26" l="1"/>
  <c r="M907" i="26"/>
  <c r="Q907" i="26" s="1"/>
  <c r="F1203" i="26"/>
  <c r="P905" i="26"/>
  <c r="S905" i="26" s="1"/>
  <c r="H833" i="26"/>
  <c r="E1203" i="26"/>
  <c r="F1025" i="26"/>
  <c r="P1025" i="26" s="1"/>
  <c r="U1025" i="26" s="1"/>
  <c r="F911" i="26"/>
  <c r="K1201" i="26"/>
  <c r="C1202" i="26"/>
  <c r="K1028" i="26"/>
  <c r="J1028" i="26"/>
  <c r="Q1029" i="26"/>
  <c r="S904" i="26"/>
  <c r="G1029" i="26"/>
  <c r="N1029" i="26"/>
  <c r="T1029" i="26" s="1"/>
  <c r="M1030" i="26"/>
  <c r="R1024" i="26"/>
  <c r="V1024" i="26" s="1"/>
  <c r="P1200" i="26"/>
  <c r="T1200" i="26"/>
  <c r="S1200" i="26"/>
  <c r="H1029" i="26"/>
  <c r="I1029" i="26"/>
  <c r="O1030" i="26"/>
  <c r="I832" i="26"/>
  <c r="Q831" i="26"/>
  <c r="C1027" i="26"/>
  <c r="D1026" i="26"/>
  <c r="L1026" i="26" s="1"/>
  <c r="E1026" i="26"/>
  <c r="L908" i="26"/>
  <c r="E909" i="26"/>
  <c r="P906" i="26"/>
  <c r="T906" i="26" s="1"/>
  <c r="P465" i="26"/>
  <c r="N465" i="26"/>
  <c r="M465" i="26"/>
  <c r="C466" i="26"/>
  <c r="R465" i="26"/>
  <c r="Q465" i="26"/>
  <c r="Q832" i="26" l="1"/>
  <c r="I833" i="26"/>
  <c r="J1029" i="26"/>
  <c r="K1029" i="26"/>
  <c r="Q1030" i="26"/>
  <c r="P832" i="26"/>
  <c r="O1031" i="26"/>
  <c r="H1030" i="26"/>
  <c r="I1030" i="26"/>
  <c r="P833" i="26"/>
  <c r="H834" i="26"/>
  <c r="K1202" i="26"/>
  <c r="C1203" i="26"/>
  <c r="T905" i="26"/>
  <c r="P1201" i="26"/>
  <c r="S1201" i="26"/>
  <c r="T1201" i="26"/>
  <c r="S906" i="26"/>
  <c r="F912" i="26"/>
  <c r="F1204" i="26"/>
  <c r="G1030" i="26"/>
  <c r="M1031" i="26"/>
  <c r="N1030" i="26"/>
  <c r="T1030" i="26" s="1"/>
  <c r="R1025" i="26"/>
  <c r="V1025" i="26" s="1"/>
  <c r="M908" i="26"/>
  <c r="Q908" i="26" s="1"/>
  <c r="C909" i="26"/>
  <c r="L909" i="26" s="1"/>
  <c r="F1026" i="26"/>
  <c r="P1026" i="26" s="1"/>
  <c r="U1026" i="26" s="1"/>
  <c r="E910" i="26"/>
  <c r="E1027" i="26"/>
  <c r="C1028" i="26"/>
  <c r="D1027" i="26"/>
  <c r="L1027" i="26" s="1"/>
  <c r="E1204" i="26"/>
  <c r="P907" i="26"/>
  <c r="S907" i="26" s="1"/>
  <c r="R466" i="26"/>
  <c r="Q466" i="26"/>
  <c r="P466" i="26"/>
  <c r="N466" i="26"/>
  <c r="M466" i="26"/>
  <c r="C467" i="26"/>
  <c r="E911" i="26" l="1"/>
  <c r="P1202" i="26"/>
  <c r="S1202" i="26"/>
  <c r="T1202" i="26"/>
  <c r="S908" i="26"/>
  <c r="H835" i="26"/>
  <c r="T907" i="26"/>
  <c r="P908" i="26"/>
  <c r="T908" i="26" s="1"/>
  <c r="M909" i="26"/>
  <c r="Q909" i="26" s="1"/>
  <c r="C910" i="26"/>
  <c r="F913" i="26"/>
  <c r="H1031" i="26"/>
  <c r="O1032" i="26"/>
  <c r="I1031" i="26"/>
  <c r="E1205" i="26"/>
  <c r="J1030" i="26"/>
  <c r="K1030" i="26"/>
  <c r="Q1031" i="26"/>
  <c r="N1031" i="26"/>
  <c r="T1031" i="26" s="1"/>
  <c r="M1032" i="26"/>
  <c r="G1031" i="26"/>
  <c r="Q833" i="26"/>
  <c r="I834" i="26"/>
  <c r="P834" i="26" s="1"/>
  <c r="R1026" i="26"/>
  <c r="V1026" i="26" s="1"/>
  <c r="E1028" i="26"/>
  <c r="D1028" i="26"/>
  <c r="L1028" i="26" s="1"/>
  <c r="C1029" i="26"/>
  <c r="F1027" i="26"/>
  <c r="P1027" i="26" s="1"/>
  <c r="U1027" i="26" s="1"/>
  <c r="F1205" i="26"/>
  <c r="K1203" i="26"/>
  <c r="C1204" i="26"/>
  <c r="C468" i="26"/>
  <c r="R467" i="26"/>
  <c r="Q467" i="26"/>
  <c r="P467" i="26"/>
  <c r="N467" i="26"/>
  <c r="M467" i="26"/>
  <c r="E1029" i="26" l="1"/>
  <c r="C1030" i="26"/>
  <c r="D1029" i="26"/>
  <c r="L1029" i="26" s="1"/>
  <c r="E1206" i="26"/>
  <c r="H836" i="26"/>
  <c r="F1028" i="26"/>
  <c r="P1028" i="26" s="1"/>
  <c r="U1028" i="26" s="1"/>
  <c r="H1032" i="26"/>
  <c r="I1032" i="26"/>
  <c r="O1033" i="26"/>
  <c r="I835" i="26"/>
  <c r="P835" i="26" s="1"/>
  <c r="Q834" i="26"/>
  <c r="F914" i="26"/>
  <c r="E912" i="26"/>
  <c r="C1205" i="26"/>
  <c r="K1204" i="26"/>
  <c r="P1203" i="26"/>
  <c r="T1203" i="26"/>
  <c r="S1203" i="26"/>
  <c r="G1032" i="26"/>
  <c r="M1033" i="26"/>
  <c r="N1032" i="26"/>
  <c r="T1032" i="26" s="1"/>
  <c r="C911" i="26"/>
  <c r="L910" i="26"/>
  <c r="F1206" i="26"/>
  <c r="J1031" i="26"/>
  <c r="Q1032" i="26"/>
  <c r="K1031" i="26"/>
  <c r="R1027" i="26"/>
  <c r="V1027" i="26" s="1"/>
  <c r="P909" i="26"/>
  <c r="T909" i="26" s="1"/>
  <c r="M468" i="26"/>
  <c r="C469" i="26"/>
  <c r="R468" i="26"/>
  <c r="Q468" i="26"/>
  <c r="P468" i="26"/>
  <c r="N468" i="26"/>
  <c r="S909" i="26" l="1"/>
  <c r="O1034" i="26"/>
  <c r="I1033" i="26"/>
  <c r="H1033" i="26"/>
  <c r="Q1033" i="26"/>
  <c r="K1032" i="26"/>
  <c r="J1032" i="26"/>
  <c r="P1204" i="26"/>
  <c r="T1204" i="26"/>
  <c r="S1204" i="26"/>
  <c r="R1028" i="26"/>
  <c r="V1028" i="26" s="1"/>
  <c r="E913" i="26"/>
  <c r="P836" i="26"/>
  <c r="H837" i="26"/>
  <c r="F1207" i="26"/>
  <c r="K1205" i="26"/>
  <c r="C1206" i="26"/>
  <c r="C912" i="26"/>
  <c r="L911" i="26"/>
  <c r="P910" i="26"/>
  <c r="M910" i="26"/>
  <c r="Q910" i="26" s="1"/>
  <c r="F915" i="26"/>
  <c r="E1207" i="26"/>
  <c r="N1033" i="26"/>
  <c r="T1033" i="26" s="1"/>
  <c r="G1033" i="26"/>
  <c r="M1034" i="26"/>
  <c r="D1030" i="26"/>
  <c r="L1030" i="26" s="1"/>
  <c r="E1030" i="26"/>
  <c r="C1031" i="26"/>
  <c r="I836" i="26"/>
  <c r="Q835" i="26"/>
  <c r="F1029" i="26"/>
  <c r="P1029" i="26" s="1"/>
  <c r="U1029" i="26" s="1"/>
  <c r="P469" i="26"/>
  <c r="N469" i="26"/>
  <c r="M469" i="26"/>
  <c r="Q469" i="26"/>
  <c r="C470" i="26"/>
  <c r="R469" i="26"/>
  <c r="R1030" i="26" l="1"/>
  <c r="V1030" i="26" s="1"/>
  <c r="F1030" i="26"/>
  <c r="P1030" i="26" s="1"/>
  <c r="U1030" i="26" s="1"/>
  <c r="N1034" i="26"/>
  <c r="T1034" i="26" s="1"/>
  <c r="M1035" i="26"/>
  <c r="G1034" i="26"/>
  <c r="C913" i="26"/>
  <c r="K1206" i="26"/>
  <c r="C1207" i="26"/>
  <c r="P1205" i="26"/>
  <c r="S1205" i="26"/>
  <c r="T1205" i="26"/>
  <c r="E1208" i="26"/>
  <c r="F916" i="26"/>
  <c r="F1208" i="26"/>
  <c r="J1033" i="26"/>
  <c r="K1033" i="26"/>
  <c r="Q1034" i="26"/>
  <c r="R1029" i="26"/>
  <c r="V1029" i="26" s="1"/>
  <c r="H838" i="26"/>
  <c r="M911" i="26"/>
  <c r="Q911" i="26" s="1"/>
  <c r="I837" i="26"/>
  <c r="Q836" i="26"/>
  <c r="S910" i="26"/>
  <c r="L912" i="26"/>
  <c r="M912" i="26" s="1"/>
  <c r="Q912" i="26" s="1"/>
  <c r="H1034" i="26"/>
  <c r="I1034" i="26"/>
  <c r="O1035" i="26"/>
  <c r="E1031" i="26"/>
  <c r="C1032" i="26"/>
  <c r="D1031" i="26"/>
  <c r="L1031" i="26" s="1"/>
  <c r="T910" i="26"/>
  <c r="E914" i="26"/>
  <c r="L913" i="26"/>
  <c r="R470" i="26"/>
  <c r="C471" i="26"/>
  <c r="Q470" i="26"/>
  <c r="P470" i="26"/>
  <c r="N470" i="26"/>
  <c r="M470" i="26"/>
  <c r="F1031" i="26" l="1"/>
  <c r="P1031" i="26" s="1"/>
  <c r="U1031" i="26" s="1"/>
  <c r="J1034" i="26"/>
  <c r="Q1035" i="26"/>
  <c r="K1034" i="26"/>
  <c r="K1207" i="26"/>
  <c r="C1208" i="26"/>
  <c r="I1035" i="26"/>
  <c r="H1035" i="26"/>
  <c r="O1036" i="26"/>
  <c r="P1206" i="26"/>
  <c r="T1206" i="26"/>
  <c r="S1206" i="26"/>
  <c r="F1209" i="26"/>
  <c r="C914" i="26"/>
  <c r="M913" i="26"/>
  <c r="Q913" i="26" s="1"/>
  <c r="P912" i="26"/>
  <c r="T912" i="26" s="1"/>
  <c r="M1036" i="26"/>
  <c r="N1035" i="26"/>
  <c r="T1035" i="26" s="1"/>
  <c r="G1035" i="26"/>
  <c r="P913" i="26"/>
  <c r="T913" i="26" s="1"/>
  <c r="D1032" i="26"/>
  <c r="L1032" i="26" s="1"/>
  <c r="E1032" i="26"/>
  <c r="C1033" i="26"/>
  <c r="F917" i="26"/>
  <c r="I838" i="26"/>
  <c r="Q837" i="26"/>
  <c r="L914" i="26"/>
  <c r="E915" i="26"/>
  <c r="E1209" i="26"/>
  <c r="P837" i="26"/>
  <c r="P911" i="26"/>
  <c r="T911" i="26" s="1"/>
  <c r="P838" i="26"/>
  <c r="H839" i="26"/>
  <c r="C472" i="26"/>
  <c r="R471" i="26"/>
  <c r="Q471" i="26"/>
  <c r="P471" i="26"/>
  <c r="N471" i="26"/>
  <c r="M471" i="26"/>
  <c r="S911" i="26" l="1"/>
  <c r="I1036" i="26"/>
  <c r="H1036" i="26"/>
  <c r="N1036" i="26"/>
  <c r="T1036" i="26" s="1"/>
  <c r="G1036" i="26"/>
  <c r="H974" i="26"/>
  <c r="V933" i="26" s="1"/>
  <c r="W933" i="26" s="1"/>
  <c r="H979" i="26"/>
  <c r="V953" i="26" s="1"/>
  <c r="W953" i="26" s="1"/>
  <c r="H975" i="26"/>
  <c r="V937" i="26" s="1"/>
  <c r="W937" i="26" s="1"/>
  <c r="P839" i="26"/>
  <c r="H840" i="26"/>
  <c r="I839" i="26"/>
  <c r="Q838" i="26"/>
  <c r="S912" i="26"/>
  <c r="S913" i="26"/>
  <c r="C1209" i="26"/>
  <c r="K1208" i="26"/>
  <c r="P1207" i="26"/>
  <c r="S1207" i="26"/>
  <c r="T1207" i="26"/>
  <c r="E1033" i="26"/>
  <c r="C1034" i="26"/>
  <c r="D1033" i="26"/>
  <c r="L1033" i="26" s="1"/>
  <c r="C915" i="26"/>
  <c r="M914" i="26"/>
  <c r="J1035" i="26"/>
  <c r="Q1036" i="26"/>
  <c r="K1035" i="26"/>
  <c r="F918" i="26"/>
  <c r="F1032" i="26"/>
  <c r="P1032" i="26" s="1"/>
  <c r="U1032" i="26" s="1"/>
  <c r="E1210" i="26"/>
  <c r="F1210" i="26"/>
  <c r="R1031" i="26"/>
  <c r="V1031" i="26" s="1"/>
  <c r="E916" i="26"/>
  <c r="L915" i="26"/>
  <c r="M472" i="26"/>
  <c r="N472" i="26"/>
  <c r="C473" i="26"/>
  <c r="R472" i="26"/>
  <c r="Q472" i="26"/>
  <c r="P472" i="26"/>
  <c r="F1211" i="26" l="1"/>
  <c r="U1045" i="26"/>
  <c r="V1045" i="26" s="1"/>
  <c r="V1040" i="26"/>
  <c r="E1211" i="26"/>
  <c r="R1032" i="26"/>
  <c r="V1032" i="26" s="1"/>
  <c r="C1210" i="26"/>
  <c r="K1209" i="26"/>
  <c r="P1208" i="26"/>
  <c r="T1208" i="26"/>
  <c r="S1208" i="26"/>
  <c r="F1033" i="26"/>
  <c r="P1033" i="26" s="1"/>
  <c r="U1033" i="26" s="1"/>
  <c r="E1034" i="26"/>
  <c r="C1035" i="26"/>
  <c r="D1034" i="26"/>
  <c r="L1034" i="26" s="1"/>
  <c r="H841" i="26"/>
  <c r="F919" i="26"/>
  <c r="E917" i="26"/>
  <c r="J1036" i="26"/>
  <c r="K1036" i="26"/>
  <c r="Q914" i="26"/>
  <c r="S914" i="26" s="1"/>
  <c r="C916" i="26"/>
  <c r="M915" i="26"/>
  <c r="Q915" i="26" s="1"/>
  <c r="I840" i="26"/>
  <c r="P840" i="26" s="1"/>
  <c r="Q839" i="26"/>
  <c r="P914" i="26"/>
  <c r="T914" i="26" s="1"/>
  <c r="P473" i="26"/>
  <c r="N473" i="26"/>
  <c r="M473" i="26"/>
  <c r="Q473" i="26"/>
  <c r="C474" i="26"/>
  <c r="R473" i="26"/>
  <c r="H842" i="26" l="1"/>
  <c r="P1209" i="26"/>
  <c r="T1209" i="26"/>
  <c r="S1209" i="26"/>
  <c r="C917" i="26"/>
  <c r="K1210" i="26"/>
  <c r="C1211" i="26"/>
  <c r="D1035" i="26"/>
  <c r="L1035" i="26" s="1"/>
  <c r="C1036" i="26"/>
  <c r="E1035" i="26"/>
  <c r="F1034" i="26"/>
  <c r="P1034" i="26" s="1"/>
  <c r="U1034" i="26" s="1"/>
  <c r="E1212" i="26"/>
  <c r="Q840" i="26"/>
  <c r="I841" i="26"/>
  <c r="P841" i="26" s="1"/>
  <c r="P915" i="26"/>
  <c r="T915" i="26" s="1"/>
  <c r="E918" i="26"/>
  <c r="R1033" i="26"/>
  <c r="V1033" i="26" s="1"/>
  <c r="F1212" i="26"/>
  <c r="L916" i="26"/>
  <c r="M916" i="26" s="1"/>
  <c r="Q916" i="26" s="1"/>
  <c r="R474" i="26"/>
  <c r="Q474" i="26"/>
  <c r="P474" i="26"/>
  <c r="N474" i="26"/>
  <c r="M474" i="26"/>
  <c r="C475" i="26"/>
  <c r="C1212" i="26" l="1"/>
  <c r="K1211" i="26"/>
  <c r="P1210" i="26"/>
  <c r="T1210" i="26"/>
  <c r="S1210" i="26"/>
  <c r="E919" i="26"/>
  <c r="S915" i="26"/>
  <c r="C918" i="26"/>
  <c r="L918" i="26" s="1"/>
  <c r="P916" i="26"/>
  <c r="T916" i="26" s="1"/>
  <c r="E1213" i="26"/>
  <c r="D1036" i="26"/>
  <c r="L1036" i="26" s="1"/>
  <c r="E1036" i="26"/>
  <c r="L917" i="26"/>
  <c r="M917" i="26" s="1"/>
  <c r="Q917" i="26" s="1"/>
  <c r="I842" i="26"/>
  <c r="Q841" i="26"/>
  <c r="F1213" i="26"/>
  <c r="R1034" i="26"/>
  <c r="V1034" i="26" s="1"/>
  <c r="F1035" i="26"/>
  <c r="P1035" i="26" s="1"/>
  <c r="U1035" i="26" s="1"/>
  <c r="H843" i="26"/>
  <c r="C476" i="26"/>
  <c r="R475" i="26"/>
  <c r="Q475" i="26"/>
  <c r="P475" i="26"/>
  <c r="N475" i="26"/>
  <c r="M475" i="26"/>
  <c r="M918" i="26" l="1"/>
  <c r="Q918" i="26" s="1"/>
  <c r="C919" i="26"/>
  <c r="L919" i="26" s="1"/>
  <c r="I843" i="26"/>
  <c r="Q842" i="26"/>
  <c r="P917" i="26"/>
  <c r="T917" i="26" s="1"/>
  <c r="F1214" i="26"/>
  <c r="P842" i="26"/>
  <c r="E1214" i="26"/>
  <c r="H844" i="26"/>
  <c r="P1211" i="26"/>
  <c r="T1211" i="26"/>
  <c r="S1211" i="26"/>
  <c r="F1036" i="26"/>
  <c r="P1036" i="26" s="1"/>
  <c r="U1036" i="26" s="1"/>
  <c r="S916" i="26"/>
  <c r="R1035" i="26"/>
  <c r="V1035" i="26" s="1"/>
  <c r="C1213" i="26"/>
  <c r="K1212" i="26"/>
  <c r="M476" i="26"/>
  <c r="C477" i="26"/>
  <c r="R476" i="26"/>
  <c r="N476" i="26"/>
  <c r="Q476" i="26"/>
  <c r="P476" i="26"/>
  <c r="I844" i="26" l="1"/>
  <c r="Q844" i="26" s="1"/>
  <c r="Q843" i="26"/>
  <c r="R1036" i="26"/>
  <c r="V1036" i="26" s="1"/>
  <c r="M919" i="26"/>
  <c r="Q919" i="26" s="1"/>
  <c r="S917" i="26"/>
  <c r="P844" i="26"/>
  <c r="C1214" i="26"/>
  <c r="K1214" i="26" s="1"/>
  <c r="P1214" i="26" s="1"/>
  <c r="K1213" i="26"/>
  <c r="P843" i="26"/>
  <c r="P1212" i="26"/>
  <c r="S1212" i="26"/>
  <c r="T1212" i="26"/>
  <c r="P918" i="26"/>
  <c r="T918" i="26" s="1"/>
  <c r="P477" i="26"/>
  <c r="N477" i="26"/>
  <c r="M477" i="26"/>
  <c r="C478" i="26"/>
  <c r="R477" i="26"/>
  <c r="Q477" i="26"/>
  <c r="P1213" i="26" l="1"/>
  <c r="T1213" i="26"/>
  <c r="S1213" i="26"/>
  <c r="S918" i="26"/>
  <c r="T1214" i="26"/>
  <c r="S1214" i="26"/>
  <c r="P919" i="26"/>
  <c r="S919" i="26" s="1"/>
  <c r="R478" i="26"/>
  <c r="Q478" i="26"/>
  <c r="P478" i="26"/>
  <c r="N478" i="26"/>
  <c r="M478" i="26"/>
  <c r="T919" i="26" l="1"/>
  <c r="S423" i="26"/>
  <c r="S422" i="26"/>
  <c r="R423" i="26"/>
  <c r="R422" i="26"/>
  <c r="U428" i="26"/>
  <c r="T428" i="26"/>
  <c r="S428" i="26"/>
  <c r="R428" i="26"/>
  <c r="Q428" i="26"/>
  <c r="P428" i="26"/>
  <c r="C429" i="26"/>
  <c r="Q429" i="26" l="1"/>
  <c r="N429" i="26"/>
  <c r="P429" i="26" s="1"/>
  <c r="M429" i="26"/>
  <c r="O429" i="26"/>
  <c r="O430" i="26" s="1"/>
  <c r="L429" i="26"/>
  <c r="X416" i="26"/>
  <c r="Q421" i="26"/>
  <c r="P421" i="26"/>
  <c r="K487" i="26"/>
  <c r="I487" i="26"/>
  <c r="H487" i="26" s="1"/>
  <c r="D487" i="26"/>
  <c r="C487" i="26"/>
  <c r="W487" i="26" s="1"/>
  <c r="K482" i="26"/>
  <c r="I482" i="26"/>
  <c r="F482" i="26" s="1"/>
  <c r="D482" i="26"/>
  <c r="C482" i="26"/>
  <c r="W482" i="26" s="1"/>
  <c r="Q423" i="26"/>
  <c r="P423" i="26"/>
  <c r="Q422" i="26"/>
  <c r="P422" i="26"/>
  <c r="X419" i="26"/>
  <c r="X420" i="26" s="1"/>
  <c r="L418" i="26"/>
  <c r="L422" i="26" s="1"/>
  <c r="K418" i="26"/>
  <c r="K422" i="26" s="1"/>
  <c r="J418" i="26"/>
  <c r="J422" i="26" s="1"/>
  <c r="I418" i="26"/>
  <c r="I422" i="26" s="1"/>
  <c r="H418" i="26"/>
  <c r="H422" i="26" s="1"/>
  <c r="G418" i="26"/>
  <c r="G422" i="26" s="1"/>
  <c r="F418" i="26"/>
  <c r="F422" i="26" s="1"/>
  <c r="E418" i="26"/>
  <c r="E422" i="26" s="1"/>
  <c r="D418" i="26"/>
  <c r="D422" i="26" s="1"/>
  <c r="C418" i="26"/>
  <c r="C422" i="26" s="1"/>
  <c r="K415" i="26"/>
  <c r="I415" i="26"/>
  <c r="D415" i="26"/>
  <c r="C415" i="26"/>
  <c r="B414" i="26"/>
  <c r="N2" i="28"/>
  <c r="M2" i="28"/>
  <c r="I2" i="28"/>
  <c r="D2" i="28"/>
  <c r="K2" i="28" s="1" a="1"/>
  <c r="K2" i="28" s="1"/>
  <c r="C2" i="28"/>
  <c r="A2" i="28" s="1" a="1"/>
  <c r="A2" i="28" s="1"/>
  <c r="J2" i="28"/>
  <c r="B2" i="28"/>
  <c r="O2" i="28" s="1" a="1"/>
  <c r="O2" i="28" s="1"/>
  <c r="R2" i="28" l="1"/>
  <c r="A3" i="28" a="1"/>
  <c r="A3" i="28" s="1"/>
  <c r="A4" i="28" s="1" a="1"/>
  <c r="A4" i="28" s="1"/>
  <c r="O431" i="26"/>
  <c r="L430" i="26"/>
  <c r="H482" i="26"/>
  <c r="C419" i="26"/>
  <c r="D419" i="26"/>
  <c r="I419" i="26"/>
  <c r="E482" i="26"/>
  <c r="X423" i="26"/>
  <c r="X424" i="26" s="1"/>
  <c r="G482" i="26"/>
  <c r="E487" i="26"/>
  <c r="F487" i="26"/>
  <c r="G487" i="26"/>
  <c r="L2" i="28" a="1"/>
  <c r="L2" i="28" s="1"/>
  <c r="P2" i="28"/>
  <c r="S2" i="28"/>
  <c r="Q2" i="28"/>
  <c r="T20" i="26"/>
  <c r="T21" i="26"/>
  <c r="V595" i="26"/>
  <c r="V109" i="26"/>
  <c r="T595" i="26"/>
  <c r="T109" i="26"/>
  <c r="T110" i="26"/>
  <c r="P518" i="26"/>
  <c r="O530" i="26"/>
  <c r="H529" i="26"/>
  <c r="H530" i="26" s="1"/>
  <c r="H531" i="26" s="1"/>
  <c r="H532" i="26" s="1"/>
  <c r="H533" i="26" s="1"/>
  <c r="H534" i="26" s="1"/>
  <c r="H535" i="26" s="1"/>
  <c r="H536" i="26" s="1"/>
  <c r="H537" i="26" s="1"/>
  <c r="H538" i="26" s="1"/>
  <c r="H539" i="26" s="1"/>
  <c r="H540" i="26" s="1"/>
  <c r="H541" i="26" s="1"/>
  <c r="H542" i="26" s="1"/>
  <c r="H543" i="26" s="1"/>
  <c r="H544" i="26" s="1"/>
  <c r="H545" i="26" s="1"/>
  <c r="H546" i="26" s="1"/>
  <c r="H547" i="26" s="1"/>
  <c r="H548" i="26" s="1"/>
  <c r="H549" i="26" s="1"/>
  <c r="H550" i="26" s="1"/>
  <c r="H551" i="26" s="1"/>
  <c r="H552" i="26" s="1"/>
  <c r="H553" i="26" s="1"/>
  <c r="H554" i="26" s="1"/>
  <c r="H555" i="26" s="1"/>
  <c r="H556" i="26" s="1"/>
  <c r="H557" i="26" s="1"/>
  <c r="H558" i="26" s="1"/>
  <c r="H559" i="26" s="1"/>
  <c r="H560" i="26" s="1"/>
  <c r="H561" i="26" s="1"/>
  <c r="H562" i="26" s="1"/>
  <c r="H563" i="26" s="1"/>
  <c r="H564" i="26" s="1"/>
  <c r="H565" i="26" s="1"/>
  <c r="H566" i="26" s="1"/>
  <c r="H567" i="26" s="1"/>
  <c r="H568" i="26" s="1"/>
  <c r="H569" i="26" s="1"/>
  <c r="H570" i="26" s="1"/>
  <c r="H571" i="26" s="1"/>
  <c r="H572" i="26" s="1"/>
  <c r="H573" i="26" s="1"/>
  <c r="H574" i="26" s="1"/>
  <c r="H575" i="26" s="1"/>
  <c r="H576" i="26" s="1"/>
  <c r="H577" i="26" s="1"/>
  <c r="H578" i="26" s="1"/>
  <c r="D529" i="26"/>
  <c r="D530" i="26" s="1"/>
  <c r="D531" i="26" s="1"/>
  <c r="D532" i="26" s="1"/>
  <c r="D533" i="26" s="1"/>
  <c r="D534" i="26" s="1"/>
  <c r="D535" i="26" s="1"/>
  <c r="D536" i="26" s="1"/>
  <c r="D537" i="26" s="1"/>
  <c r="D538" i="26" s="1"/>
  <c r="D539" i="26" s="1"/>
  <c r="D540" i="26" s="1"/>
  <c r="D541" i="26" s="1"/>
  <c r="D542" i="26" s="1"/>
  <c r="D543" i="26" s="1"/>
  <c r="D544" i="26" s="1"/>
  <c r="D545" i="26" s="1"/>
  <c r="D546" i="26" s="1"/>
  <c r="D547" i="26" s="1"/>
  <c r="D548" i="26" s="1"/>
  <c r="D549" i="26" s="1"/>
  <c r="D550" i="26" s="1"/>
  <c r="D551" i="26" s="1"/>
  <c r="D552" i="26" s="1"/>
  <c r="D553" i="26" s="1"/>
  <c r="D554" i="26" s="1"/>
  <c r="D555" i="26" s="1"/>
  <c r="D556" i="26" s="1"/>
  <c r="D557" i="26" s="1"/>
  <c r="D558" i="26" s="1"/>
  <c r="D559" i="26" s="1"/>
  <c r="D560" i="26" s="1"/>
  <c r="D561" i="26" s="1"/>
  <c r="D562" i="26" s="1"/>
  <c r="D563" i="26" s="1"/>
  <c r="D564" i="26" s="1"/>
  <c r="D565" i="26" s="1"/>
  <c r="D566" i="26" s="1"/>
  <c r="D567" i="26" s="1"/>
  <c r="D568" i="26" s="1"/>
  <c r="D569" i="26" s="1"/>
  <c r="D570" i="26" s="1"/>
  <c r="D571" i="26" s="1"/>
  <c r="D572" i="26" s="1"/>
  <c r="D573" i="26" s="1"/>
  <c r="D574" i="26" s="1"/>
  <c r="D575" i="26" s="1"/>
  <c r="D576" i="26" s="1"/>
  <c r="D577" i="26" s="1"/>
  <c r="D578" i="26" s="1"/>
  <c r="J234" i="26"/>
  <c r="J235" i="26" s="1"/>
  <c r="J236" i="26" s="1"/>
  <c r="J237" i="26" s="1"/>
  <c r="J238" i="26" s="1"/>
  <c r="J239" i="26" s="1"/>
  <c r="J240" i="26" s="1"/>
  <c r="J241" i="26" s="1"/>
  <c r="J242" i="26" s="1"/>
  <c r="J243" i="26" s="1"/>
  <c r="J244" i="26" s="1"/>
  <c r="J245" i="26" s="1"/>
  <c r="J246" i="26" s="1"/>
  <c r="J247" i="26" s="1"/>
  <c r="J248" i="26" s="1"/>
  <c r="J249" i="26" s="1"/>
  <c r="J250" i="26" s="1"/>
  <c r="J251" i="26" s="1"/>
  <c r="J252" i="26" s="1"/>
  <c r="J253" i="26" s="1"/>
  <c r="J254" i="26" s="1"/>
  <c r="J255" i="26" s="1"/>
  <c r="J256" i="26" s="1"/>
  <c r="J257" i="26" s="1"/>
  <c r="J258" i="26" s="1"/>
  <c r="J259" i="26" s="1"/>
  <c r="J260" i="26" s="1"/>
  <c r="J261" i="26" s="1"/>
  <c r="J262" i="26" s="1"/>
  <c r="J263" i="26" s="1"/>
  <c r="J264" i="26" s="1"/>
  <c r="J265" i="26" s="1"/>
  <c r="J266" i="26" s="1"/>
  <c r="J267" i="26" s="1"/>
  <c r="J268" i="26" s="1"/>
  <c r="J269" i="26" s="1"/>
  <c r="J270" i="26" s="1"/>
  <c r="J271" i="26" s="1"/>
  <c r="J272" i="26" s="1"/>
  <c r="J273" i="26" s="1"/>
  <c r="J274" i="26" s="1"/>
  <c r="J275" i="26" s="1"/>
  <c r="J276" i="26" s="1"/>
  <c r="J277" i="26" s="1"/>
  <c r="J278" i="26" s="1"/>
  <c r="J279" i="26" s="1"/>
  <c r="J280" i="26" s="1"/>
  <c r="J281" i="26" s="1"/>
  <c r="J282" i="26" s="1"/>
  <c r="J283" i="26" s="1"/>
  <c r="D234" i="26"/>
  <c r="D235" i="26" s="1"/>
  <c r="D236" i="26" s="1"/>
  <c r="D237" i="26" s="1"/>
  <c r="D238" i="26" s="1"/>
  <c r="D239" i="26" s="1"/>
  <c r="D240" i="26" s="1"/>
  <c r="D241" i="26" s="1"/>
  <c r="D242" i="26" s="1"/>
  <c r="D243" i="26" s="1"/>
  <c r="D244" i="26" s="1"/>
  <c r="D245" i="26" s="1"/>
  <c r="D246" i="26" s="1"/>
  <c r="D247" i="26" s="1"/>
  <c r="D248" i="26" s="1"/>
  <c r="D249" i="26" s="1"/>
  <c r="D250" i="26" s="1"/>
  <c r="D251" i="26" s="1"/>
  <c r="D252" i="26" s="1"/>
  <c r="D253" i="26" s="1"/>
  <c r="D254" i="26" s="1"/>
  <c r="D255" i="26" s="1"/>
  <c r="D256" i="26" s="1"/>
  <c r="D257" i="26" s="1"/>
  <c r="D258" i="26" s="1"/>
  <c r="D259" i="26" s="1"/>
  <c r="D260" i="26" s="1"/>
  <c r="D261" i="26" s="1"/>
  <c r="D262" i="26" s="1"/>
  <c r="D263" i="26" s="1"/>
  <c r="D264" i="26" s="1"/>
  <c r="D265" i="26" s="1"/>
  <c r="D266" i="26" s="1"/>
  <c r="D267" i="26" s="1"/>
  <c r="D268" i="26" s="1"/>
  <c r="D269" i="26" s="1"/>
  <c r="D270" i="26" s="1"/>
  <c r="D271" i="26" s="1"/>
  <c r="D272" i="26" s="1"/>
  <c r="D273" i="26" s="1"/>
  <c r="D274" i="26" s="1"/>
  <c r="D275" i="26" s="1"/>
  <c r="D276" i="26" s="1"/>
  <c r="D277" i="26" s="1"/>
  <c r="D278" i="26" s="1"/>
  <c r="D279" i="26" s="1"/>
  <c r="D280" i="26" s="1"/>
  <c r="D281" i="26" s="1"/>
  <c r="D282" i="26" s="1"/>
  <c r="D283" i="26" s="1"/>
  <c r="G1878" i="4"/>
  <c r="G1877" i="4"/>
  <c r="G1876" i="4"/>
  <c r="G1875" i="4"/>
  <c r="G1873" i="4"/>
  <c r="G1872" i="4"/>
  <c r="G1871" i="4"/>
  <c r="G1869" i="4"/>
  <c r="G1868" i="4"/>
  <c r="G1867" i="4"/>
  <c r="G1865" i="4"/>
  <c r="G1864" i="4"/>
  <c r="G1863" i="4"/>
  <c r="G1862" i="4"/>
  <c r="G1860" i="4"/>
  <c r="G1859" i="4"/>
  <c r="G1858" i="4"/>
  <c r="G1857" i="4"/>
  <c r="G1855" i="4"/>
  <c r="G1854" i="4"/>
  <c r="G1853" i="4"/>
  <c r="G1851" i="4"/>
  <c r="G1850" i="4"/>
  <c r="G1849" i="4"/>
  <c r="G1848" i="4"/>
  <c r="G1846" i="4"/>
  <c r="G1845" i="4"/>
  <c r="G1844" i="4"/>
  <c r="G1351" i="4"/>
  <c r="G1350" i="4"/>
  <c r="G1349" i="4"/>
  <c r="G1348" i="4"/>
  <c r="G1347" i="4"/>
  <c r="G1346" i="4"/>
  <c r="G1345" i="4"/>
  <c r="G1344" i="4"/>
  <c r="G1343" i="4"/>
  <c r="G1341" i="4"/>
  <c r="G1340" i="4"/>
  <c r="G1339" i="4"/>
  <c r="G1338" i="4"/>
  <c r="G1337" i="4"/>
  <c r="G1336" i="4"/>
  <c r="G1335" i="4"/>
  <c r="G1334" i="4"/>
  <c r="G1333" i="4"/>
  <c r="G1332" i="4"/>
  <c r="G1331" i="4"/>
  <c r="G1330" i="4"/>
  <c r="G1329" i="4"/>
  <c r="G1328" i="4"/>
  <c r="G1327" i="4"/>
  <c r="G1326" i="4"/>
  <c r="G1325" i="4"/>
  <c r="G1324" i="4"/>
  <c r="G1323" i="4"/>
  <c r="G1322" i="4"/>
  <c r="G1321" i="4"/>
  <c r="G1320" i="4"/>
  <c r="G1319" i="4"/>
  <c r="G1318" i="4"/>
  <c r="G1317" i="4"/>
  <c r="G1316" i="4"/>
  <c r="G1315" i="4"/>
  <c r="G1314" i="4"/>
  <c r="G1312" i="4"/>
  <c r="G1311" i="4"/>
  <c r="G1310" i="4"/>
  <c r="G1309" i="4"/>
  <c r="G1308" i="4"/>
  <c r="G1307" i="4"/>
  <c r="G1306" i="4"/>
  <c r="G1305" i="4"/>
  <c r="G1304" i="4"/>
  <c r="G1303" i="4"/>
  <c r="G1302" i="4"/>
  <c r="G1301" i="4"/>
  <c r="G1300" i="4"/>
  <c r="G1299" i="4"/>
  <c r="G1298" i="4"/>
  <c r="G1297" i="4"/>
  <c r="G1296" i="4"/>
  <c r="G1295" i="4"/>
  <c r="G1294" i="4"/>
  <c r="G1293" i="4"/>
  <c r="G1292" i="4"/>
  <c r="G1291" i="4"/>
  <c r="G1290" i="4"/>
  <c r="G1289" i="4"/>
  <c r="G1288" i="4"/>
  <c r="G1287" i="4"/>
  <c r="G1286" i="4"/>
  <c r="G1285" i="4"/>
  <c r="G1284" i="4"/>
  <c r="G1283" i="4"/>
  <c r="G1282" i="4"/>
  <c r="G1281" i="4"/>
  <c r="G1280" i="4"/>
  <c r="G1279" i="4"/>
  <c r="G1278" i="4"/>
  <c r="G1277" i="4"/>
  <c r="G1276" i="4"/>
  <c r="G1275" i="4"/>
  <c r="G1274" i="4"/>
  <c r="G1273" i="4"/>
  <c r="G1272" i="4"/>
  <c r="G1271" i="4"/>
  <c r="G1270" i="4"/>
  <c r="G1269" i="4"/>
  <c r="G1268" i="4"/>
  <c r="G1267" i="4"/>
  <c r="G1266" i="4"/>
  <c r="G1265" i="4"/>
  <c r="G1264" i="4"/>
  <c r="G1263" i="4"/>
  <c r="G1262" i="4"/>
  <c r="G1261" i="4"/>
  <c r="G1260" i="4"/>
  <c r="G1259" i="4"/>
  <c r="G1258" i="4"/>
  <c r="G1257" i="4"/>
  <c r="G1256" i="4"/>
  <c r="G1255" i="4"/>
  <c r="G1254" i="4"/>
  <c r="G1253" i="4"/>
  <c r="G1252" i="4"/>
  <c r="G1251" i="4"/>
  <c r="G1250" i="4"/>
  <c r="G1249" i="4"/>
  <c r="G1248" i="4"/>
  <c r="G1247" i="4"/>
  <c r="G1246" i="4"/>
  <c r="G1245" i="4"/>
  <c r="G1244" i="4"/>
  <c r="G1243" i="4"/>
  <c r="G1242" i="4"/>
  <c r="G1241" i="4"/>
  <c r="G1240" i="4"/>
  <c r="G1239" i="4"/>
  <c r="G1238" i="4"/>
  <c r="G1237" i="4"/>
  <c r="G1236" i="4"/>
  <c r="G1235" i="4"/>
  <c r="G1234" i="4"/>
  <c r="G1233" i="4"/>
  <c r="G1232" i="4"/>
  <c r="G1231" i="4"/>
  <c r="G1230" i="4"/>
  <c r="G1229" i="4"/>
  <c r="G1228" i="4"/>
  <c r="G1227" i="4"/>
  <c r="G1226" i="4"/>
  <c r="G1225" i="4"/>
  <c r="G1224" i="4"/>
  <c r="G1223" i="4"/>
  <c r="G1222" i="4"/>
  <c r="G1218" i="4"/>
  <c r="G1217" i="4"/>
  <c r="G1216" i="4"/>
  <c r="G1215" i="4"/>
  <c r="G1214" i="4"/>
  <c r="G1213" i="4"/>
  <c r="G1212" i="4"/>
  <c r="G1211" i="4"/>
  <c r="G1210" i="4"/>
  <c r="G1209" i="4"/>
  <c r="G1208" i="4"/>
  <c r="G1207" i="4"/>
  <c r="G1205" i="4"/>
  <c r="G1204" i="4"/>
  <c r="G1203" i="4"/>
  <c r="G1202" i="4"/>
  <c r="G1201" i="4"/>
  <c r="G1200" i="4"/>
  <c r="G1199" i="4"/>
  <c r="G1198" i="4"/>
  <c r="G1197" i="4"/>
  <c r="G1196" i="4"/>
  <c r="G1195" i="4"/>
  <c r="G1194" i="4"/>
  <c r="G1192" i="4"/>
  <c r="G1191" i="4"/>
  <c r="G1190" i="4"/>
  <c r="G1189" i="4"/>
  <c r="G1188" i="4"/>
  <c r="G1187" i="4"/>
  <c r="G1186" i="4"/>
  <c r="G1185" i="4"/>
  <c r="G1184" i="4"/>
  <c r="G1183" i="4"/>
  <c r="G1182" i="4"/>
  <c r="G1181" i="4"/>
  <c r="G1180" i="4"/>
  <c r="G1179" i="4"/>
  <c r="G1178" i="4"/>
  <c r="G1177" i="4"/>
  <c r="G1174" i="4"/>
  <c r="G1173" i="4"/>
  <c r="G1172" i="4"/>
  <c r="G1171" i="4"/>
  <c r="G1170" i="4"/>
  <c r="G1169" i="4"/>
  <c r="G1168" i="4"/>
  <c r="G1167" i="4"/>
  <c r="G1166" i="4"/>
  <c r="G1165" i="4"/>
  <c r="G1163" i="4"/>
  <c r="G1162" i="4"/>
  <c r="G1161" i="4"/>
  <c r="G1160" i="4"/>
  <c r="G1159" i="4"/>
  <c r="G1158" i="4"/>
  <c r="G1157" i="4"/>
  <c r="G1156" i="4"/>
  <c r="G1155" i="4"/>
  <c r="G1154" i="4"/>
  <c r="G1153" i="4"/>
  <c r="G1152" i="4"/>
  <c r="G1151" i="4"/>
  <c r="G1150" i="4"/>
  <c r="G1149" i="4"/>
  <c r="G1148" i="4"/>
  <c r="G1147" i="4"/>
  <c r="G1146" i="4"/>
  <c r="G1145" i="4"/>
  <c r="G1144" i="4"/>
  <c r="G1143" i="4"/>
  <c r="G1142" i="4"/>
  <c r="G1140" i="4"/>
  <c r="G1139" i="4"/>
  <c r="G1138" i="4"/>
  <c r="G1137" i="4"/>
  <c r="G1136" i="4"/>
  <c r="G1135" i="4"/>
  <c r="G1134" i="4"/>
  <c r="G1133" i="4"/>
  <c r="G1132" i="4"/>
  <c r="G1131" i="4"/>
  <c r="G1130" i="4"/>
  <c r="G1129" i="4"/>
  <c r="G1128" i="4"/>
  <c r="G1127" i="4"/>
  <c r="G1126" i="4"/>
  <c r="G1125" i="4"/>
  <c r="G1124" i="4"/>
  <c r="G1123" i="4"/>
  <c r="G1122" i="4"/>
  <c r="G1121" i="4"/>
  <c r="G1120" i="4"/>
  <c r="G1119" i="4"/>
  <c r="G1118" i="4"/>
  <c r="G1117" i="4"/>
  <c r="G1116" i="4"/>
  <c r="G1115" i="4"/>
  <c r="G1114" i="4"/>
  <c r="G1113" i="4"/>
  <c r="G1112" i="4"/>
  <c r="G1111" i="4"/>
  <c r="G1110" i="4"/>
  <c r="G1109" i="4"/>
  <c r="G1053" i="4"/>
  <c r="G769" i="4"/>
  <c r="G768" i="4"/>
  <c r="G767" i="4"/>
  <c r="G766" i="4"/>
  <c r="G765" i="4"/>
  <c r="G764" i="4"/>
  <c r="G763" i="4"/>
  <c r="G762" i="4"/>
  <c r="G761" i="4"/>
  <c r="G760" i="4"/>
  <c r="G759" i="4"/>
  <c r="G758" i="4"/>
  <c r="G757" i="4"/>
  <c r="G756" i="4"/>
  <c r="G755" i="4"/>
  <c r="G754" i="4"/>
  <c r="G753" i="4"/>
  <c r="G752" i="4"/>
  <c r="G751" i="4"/>
  <c r="G750" i="4"/>
  <c r="G749" i="4"/>
  <c r="G748" i="4"/>
  <c r="G747" i="4"/>
  <c r="G746" i="4"/>
  <c r="G745" i="4"/>
  <c r="G744" i="4"/>
  <c r="G743" i="4"/>
  <c r="G742" i="4"/>
  <c r="G741" i="4"/>
  <c r="G740" i="4"/>
  <c r="G739" i="4"/>
  <c r="G738" i="4"/>
  <c r="G737" i="4"/>
  <c r="G263" i="4"/>
  <c r="G261" i="4"/>
  <c r="G260" i="4"/>
  <c r="G259" i="4"/>
  <c r="G258" i="4"/>
  <c r="G257" i="4"/>
  <c r="G256" i="4"/>
  <c r="G255" i="4"/>
  <c r="G254" i="4"/>
  <c r="G253" i="4"/>
  <c r="G252" i="4"/>
  <c r="G251" i="4"/>
  <c r="G250" i="4"/>
  <c r="G249" i="4"/>
  <c r="G248" i="4"/>
  <c r="G247" i="4"/>
  <c r="G246" i="4"/>
  <c r="G245" i="4"/>
  <c r="G244" i="4"/>
  <c r="G243" i="4"/>
  <c r="G242" i="4"/>
  <c r="G241" i="4"/>
  <c r="G240" i="4"/>
  <c r="G239" i="4"/>
  <c r="G238" i="4"/>
  <c r="G237" i="4"/>
  <c r="G236" i="4"/>
  <c r="G235" i="4"/>
  <c r="G234" i="4"/>
  <c r="G233" i="4"/>
  <c r="G232" i="4"/>
  <c r="G231" i="4"/>
  <c r="G230" i="4"/>
  <c r="G229" i="4"/>
  <c r="G228" i="4"/>
  <c r="G227" i="4"/>
  <c r="G226" i="4"/>
  <c r="G195" i="4"/>
  <c r="G196" i="4"/>
  <c r="G197" i="4"/>
  <c r="G198" i="4"/>
  <c r="G199" i="4"/>
  <c r="G200" i="4"/>
  <c r="G201" i="4"/>
  <c r="G202" i="4"/>
  <c r="G203" i="4"/>
  <c r="G204" i="4"/>
  <c r="G205" i="4"/>
  <c r="G206" i="4"/>
  <c r="G207" i="4"/>
  <c r="G208" i="4"/>
  <c r="G209" i="4"/>
  <c r="G210" i="4"/>
  <c r="G211" i="4"/>
  <c r="G212" i="4"/>
  <c r="G213" i="4"/>
  <c r="G214" i="4"/>
  <c r="G215" i="4"/>
  <c r="G216" i="4"/>
  <c r="G217" i="4"/>
  <c r="G218" i="4"/>
  <c r="G219" i="4"/>
  <c r="G220" i="4"/>
  <c r="G221" i="4"/>
  <c r="G222" i="4"/>
  <c r="G223" i="4"/>
  <c r="G224" i="4"/>
  <c r="G194" i="4"/>
  <c r="G128" i="4"/>
  <c r="G129" i="4"/>
  <c r="G130" i="4"/>
  <c r="G131" i="4"/>
  <c r="G132" i="4"/>
  <c r="G133" i="4"/>
  <c r="G134" i="4"/>
  <c r="G135" i="4"/>
  <c r="G136" i="4"/>
  <c r="G137" i="4"/>
  <c r="G138" i="4"/>
  <c r="G139" i="4"/>
  <c r="G140" i="4"/>
  <c r="G141" i="4"/>
  <c r="G142" i="4"/>
  <c r="G143" i="4"/>
  <c r="G144" i="4"/>
  <c r="G145" i="4"/>
  <c r="G146" i="4"/>
  <c r="G147" i="4"/>
  <c r="G148" i="4"/>
  <c r="G149" i="4"/>
  <c r="G150" i="4"/>
  <c r="G151" i="4"/>
  <c r="G152" i="4"/>
  <c r="G153" i="4"/>
  <c r="G154" i="4"/>
  <c r="G155" i="4"/>
  <c r="G156" i="4"/>
  <c r="G157" i="4"/>
  <c r="G158" i="4"/>
  <c r="G159" i="4"/>
  <c r="G160" i="4"/>
  <c r="G161" i="4"/>
  <c r="G162" i="4"/>
  <c r="G163" i="4"/>
  <c r="G164" i="4"/>
  <c r="G165" i="4"/>
  <c r="G166" i="4"/>
  <c r="G167" i="4"/>
  <c r="G168" i="4"/>
  <c r="G169" i="4"/>
  <c r="G170" i="4"/>
  <c r="G171" i="4"/>
  <c r="G172" i="4"/>
  <c r="G173" i="4"/>
  <c r="G174" i="4"/>
  <c r="G175" i="4"/>
  <c r="G176" i="4"/>
  <c r="G177" i="4"/>
  <c r="G178" i="4"/>
  <c r="G179" i="4"/>
  <c r="G180" i="4"/>
  <c r="G181" i="4"/>
  <c r="G182" i="4"/>
  <c r="G183" i="4"/>
  <c r="G184" i="4"/>
  <c r="G185" i="4"/>
  <c r="G186" i="4"/>
  <c r="G187" i="4"/>
  <c r="G188" i="4"/>
  <c r="G189" i="4"/>
  <c r="G190" i="4"/>
  <c r="G191" i="4"/>
  <c r="G192" i="4"/>
  <c r="G127" i="4"/>
  <c r="G69" i="4"/>
  <c r="G70" i="4"/>
  <c r="G71" i="4"/>
  <c r="G72" i="4"/>
  <c r="G73" i="4"/>
  <c r="G74" i="4"/>
  <c r="G75" i="4"/>
  <c r="G76" i="4"/>
  <c r="G77" i="4"/>
  <c r="G78" i="4"/>
  <c r="G79" i="4"/>
  <c r="G80" i="4"/>
  <c r="G81" i="4"/>
  <c r="G82" i="4"/>
  <c r="G83" i="4"/>
  <c r="G84" i="4"/>
  <c r="G85" i="4"/>
  <c r="G86" i="4"/>
  <c r="G87" i="4"/>
  <c r="G88" i="4"/>
  <c r="G89" i="4"/>
  <c r="G90" i="4"/>
  <c r="G91" i="4"/>
  <c r="G92" i="4"/>
  <c r="G93" i="4"/>
  <c r="G94" i="4"/>
  <c r="G95" i="4"/>
  <c r="G96" i="4"/>
  <c r="G97" i="4"/>
  <c r="G98" i="4"/>
  <c r="G99" i="4"/>
  <c r="G100" i="4"/>
  <c r="G101" i="4"/>
  <c r="G102" i="4"/>
  <c r="G103" i="4"/>
  <c r="G104" i="4"/>
  <c r="G105" i="4"/>
  <c r="G106" i="4"/>
  <c r="G107" i="4"/>
  <c r="G108" i="4"/>
  <c r="G109" i="4"/>
  <c r="G110" i="4"/>
  <c r="G111" i="4"/>
  <c r="G112" i="4"/>
  <c r="G113" i="4"/>
  <c r="G114" i="4"/>
  <c r="G115" i="4"/>
  <c r="G116" i="4"/>
  <c r="G117" i="4"/>
  <c r="G118" i="4"/>
  <c r="G119" i="4"/>
  <c r="G120" i="4"/>
  <c r="G121" i="4"/>
  <c r="G122" i="4"/>
  <c r="G123" i="4"/>
  <c r="G124" i="4"/>
  <c r="G68" i="4"/>
  <c r="S352" i="26"/>
  <c r="S353" i="26" s="1"/>
  <c r="S354" i="26" s="1"/>
  <c r="S355" i="26" s="1"/>
  <c r="S356" i="26" s="1"/>
  <c r="S357" i="26" s="1"/>
  <c r="S358" i="26" s="1"/>
  <c r="S359" i="26" s="1"/>
  <c r="S360" i="26" s="1"/>
  <c r="S361" i="26" s="1"/>
  <c r="S362" i="26" s="1"/>
  <c r="S363" i="26" s="1"/>
  <c r="S364" i="26" s="1"/>
  <c r="S365" i="26" s="1"/>
  <c r="S366" i="26" s="1"/>
  <c r="S367" i="26" s="1"/>
  <c r="S368" i="26" s="1"/>
  <c r="S369" i="26" s="1"/>
  <c r="S370" i="26" s="1"/>
  <c r="S371" i="26" s="1"/>
  <c r="S372" i="26" s="1"/>
  <c r="S373" i="26" s="1"/>
  <c r="S374" i="26" s="1"/>
  <c r="S375" i="26" s="1"/>
  <c r="S376" i="26" s="1"/>
  <c r="S377" i="26" s="1"/>
  <c r="S378" i="26" s="1"/>
  <c r="S379" i="26" s="1"/>
  <c r="S380" i="26" s="1"/>
  <c r="S381" i="26" s="1"/>
  <c r="S382" i="26" s="1"/>
  <c r="S383" i="26" s="1"/>
  <c r="S384" i="26" s="1"/>
  <c r="S385" i="26" s="1"/>
  <c r="S386" i="26" s="1"/>
  <c r="S387" i="26" s="1"/>
  <c r="S388" i="26" s="1"/>
  <c r="S389" i="26" s="1"/>
  <c r="S390" i="26" s="1"/>
  <c r="S391" i="26" s="1"/>
  <c r="S392" i="26" s="1"/>
  <c r="S393" i="26" s="1"/>
  <c r="S394" i="26" s="1"/>
  <c r="S395" i="26" s="1"/>
  <c r="S396" i="26" s="1"/>
  <c r="S397" i="26" s="1"/>
  <c r="S398" i="26" s="1"/>
  <c r="S399" i="26" s="1"/>
  <c r="S400" i="26" s="1"/>
  <c r="O235" i="26"/>
  <c r="O236" i="26" s="1"/>
  <c r="O237" i="26" s="1"/>
  <c r="O238" i="26" s="1"/>
  <c r="O239" i="26" s="1"/>
  <c r="O240" i="26" s="1"/>
  <c r="O241" i="26" s="1"/>
  <c r="O242" i="26" s="1"/>
  <c r="O243" i="26" s="1"/>
  <c r="O244" i="26" s="1"/>
  <c r="O245" i="26" s="1"/>
  <c r="O246" i="26" s="1"/>
  <c r="O247" i="26" s="1"/>
  <c r="O248" i="26" s="1"/>
  <c r="O249" i="26" s="1"/>
  <c r="O250" i="26" s="1"/>
  <c r="O251" i="26" s="1"/>
  <c r="O252" i="26" s="1"/>
  <c r="O253" i="26" s="1"/>
  <c r="O254" i="26" s="1"/>
  <c r="O255" i="26" s="1"/>
  <c r="O256" i="26" s="1"/>
  <c r="O257" i="26" s="1"/>
  <c r="O258" i="26" s="1"/>
  <c r="O259" i="26" s="1"/>
  <c r="O260" i="26" s="1"/>
  <c r="O261" i="26" s="1"/>
  <c r="O262" i="26" s="1"/>
  <c r="O263" i="26" s="1"/>
  <c r="O264" i="26" s="1"/>
  <c r="O265" i="26" s="1"/>
  <c r="O266" i="26" s="1"/>
  <c r="O267" i="26" s="1"/>
  <c r="O268" i="26" s="1"/>
  <c r="O269" i="26" s="1"/>
  <c r="O270" i="26" s="1"/>
  <c r="O271" i="26" s="1"/>
  <c r="O272" i="26" s="1"/>
  <c r="O273" i="26" s="1"/>
  <c r="O274" i="26" s="1"/>
  <c r="O275" i="26" s="1"/>
  <c r="O276" i="26" s="1"/>
  <c r="O277" i="26" s="1"/>
  <c r="O278" i="26" s="1"/>
  <c r="O279" i="26" s="1"/>
  <c r="O280" i="26" s="1"/>
  <c r="O281" i="26" s="1"/>
  <c r="O282" i="26" s="1"/>
  <c r="O283" i="26" s="1"/>
  <c r="O340" i="26"/>
  <c r="O341" i="26"/>
  <c r="O342" i="26"/>
  <c r="O343" i="26"/>
  <c r="Q339" i="26"/>
  <c r="N340" i="26"/>
  <c r="N341" i="26"/>
  <c r="N342" i="26"/>
  <c r="N343" i="26"/>
  <c r="N339" i="26"/>
  <c r="S340" i="26" l="1"/>
  <c r="S339" i="26"/>
  <c r="Q341" i="26"/>
  <c r="P341" i="26"/>
  <c r="Q340" i="26"/>
  <c r="P340" i="26"/>
  <c r="P339" i="26"/>
  <c r="R4" i="28"/>
  <c r="O4" i="28" a="1"/>
  <c r="O4" i="28" s="1"/>
  <c r="S4" i="28" s="1"/>
  <c r="R3" i="28"/>
  <c r="O3" i="28" a="1"/>
  <c r="O3" i="28" s="1"/>
  <c r="M430" i="26"/>
  <c r="P430" i="26" s="1"/>
  <c r="N430" i="26"/>
  <c r="Q430" i="26"/>
  <c r="O432" i="26"/>
  <c r="T430" i="26"/>
  <c r="L431" i="26"/>
  <c r="T429" i="26"/>
  <c r="X483" i="26"/>
  <c r="X488" i="26"/>
  <c r="C423" i="26"/>
  <c r="I423" i="26"/>
  <c r="D423" i="26"/>
  <c r="V596" i="26"/>
  <c r="V110" i="26"/>
  <c r="T596" i="26"/>
  <c r="O531" i="26"/>
  <c r="M346" i="26"/>
  <c r="V343" i="26"/>
  <c r="U343" i="26"/>
  <c r="V342" i="26"/>
  <c r="U342" i="26"/>
  <c r="V341" i="26"/>
  <c r="U341" i="26"/>
  <c r="V340" i="26"/>
  <c r="U340" i="26"/>
  <c r="V1899" i="4"/>
  <c r="V1898" i="4"/>
  <c r="V1897" i="4"/>
  <c r="V1895" i="4"/>
  <c r="V1894" i="4"/>
  <c r="V1893" i="4"/>
  <c r="V1891" i="4"/>
  <c r="U1891" i="4"/>
  <c r="T1891" i="4" s="1"/>
  <c r="V1890" i="4"/>
  <c r="V1889" i="4"/>
  <c r="V1887" i="4"/>
  <c r="U1887" i="4"/>
  <c r="T1887" i="4" s="1"/>
  <c r="V1886" i="4"/>
  <c r="V1885" i="4"/>
  <c r="U1885" i="4"/>
  <c r="U1898" i="4" s="1"/>
  <c r="T1898" i="4" s="1"/>
  <c r="V1884" i="4"/>
  <c r="C627" i="26"/>
  <c r="W627" i="26" s="1"/>
  <c r="C615" i="26"/>
  <c r="W615" i="26" s="1"/>
  <c r="I49" i="1"/>
  <c r="I48" i="1"/>
  <c r="I47" i="1"/>
  <c r="I46" i="1"/>
  <c r="I45" i="1"/>
  <c r="I44" i="1"/>
  <c r="I43" i="1"/>
  <c r="I42" i="1"/>
  <c r="I41" i="1"/>
  <c r="I25" i="1"/>
  <c r="I24" i="1"/>
  <c r="I23" i="1"/>
  <c r="I22" i="1"/>
  <c r="I21" i="1"/>
  <c r="I20" i="1"/>
  <c r="I19" i="1"/>
  <c r="I18" i="1"/>
  <c r="I17" i="1"/>
  <c r="I16" i="1"/>
  <c r="I168" i="1"/>
  <c r="I169" i="1"/>
  <c r="I170" i="1"/>
  <c r="I171" i="1"/>
  <c r="I172" i="1"/>
  <c r="I173" i="1"/>
  <c r="I174" i="1"/>
  <c r="I175" i="1"/>
  <c r="I167" i="1"/>
  <c r="I163" i="1"/>
  <c r="I162" i="1"/>
  <c r="I161" i="1"/>
  <c r="I160" i="1"/>
  <c r="I159" i="1"/>
  <c r="I158" i="1"/>
  <c r="I157" i="1"/>
  <c r="I156" i="1"/>
  <c r="I155" i="1"/>
  <c r="I154" i="1"/>
  <c r="I153" i="1"/>
  <c r="I152" i="1"/>
  <c r="I151" i="1"/>
  <c r="I150" i="1"/>
  <c r="I149" i="1"/>
  <c r="I148" i="1"/>
  <c r="I147" i="1"/>
  <c r="I146" i="1"/>
  <c r="I145" i="1"/>
  <c r="I144" i="1"/>
  <c r="I143" i="1"/>
  <c r="I142" i="1"/>
  <c r="I141" i="1"/>
  <c r="I140" i="1"/>
  <c r="I139" i="1"/>
  <c r="I138" i="1"/>
  <c r="I137" i="1"/>
  <c r="I136" i="1"/>
  <c r="I135" i="1"/>
  <c r="I134" i="1"/>
  <c r="I133" i="1"/>
  <c r="I132" i="1"/>
  <c r="I131" i="1"/>
  <c r="I130" i="1"/>
  <c r="I129" i="1"/>
  <c r="I128" i="1"/>
  <c r="I127" i="1"/>
  <c r="I126" i="1"/>
  <c r="I125" i="1"/>
  <c r="I124" i="1"/>
  <c r="I123" i="1"/>
  <c r="I122" i="1"/>
  <c r="I121" i="1"/>
  <c r="I120" i="1"/>
  <c r="I119" i="1"/>
  <c r="I118" i="1"/>
  <c r="I117" i="1"/>
  <c r="I116" i="1"/>
  <c r="I115" i="1"/>
  <c r="I114" i="1"/>
  <c r="I113" i="1"/>
  <c r="I112" i="1"/>
  <c r="I111" i="1"/>
  <c r="I110" i="1"/>
  <c r="I109" i="1"/>
  <c r="I108" i="1"/>
  <c r="I107" i="1"/>
  <c r="I106" i="1"/>
  <c r="I105" i="1"/>
  <c r="I101" i="1"/>
  <c r="I100" i="1"/>
  <c r="I99" i="1"/>
  <c r="I98" i="1"/>
  <c r="I97" i="1"/>
  <c r="I96" i="1"/>
  <c r="I95" i="1"/>
  <c r="I94" i="1"/>
  <c r="I93" i="1"/>
  <c r="I92" i="1"/>
  <c r="I91" i="1"/>
  <c r="I90" i="1"/>
  <c r="I89" i="1"/>
  <c r="I88" i="1"/>
  <c r="I87" i="1"/>
  <c r="I86" i="1"/>
  <c r="I85" i="1"/>
  <c r="I84" i="1"/>
  <c r="I83" i="1"/>
  <c r="I82" i="1"/>
  <c r="I81" i="1"/>
  <c r="I80" i="1"/>
  <c r="I79" i="1"/>
  <c r="I75" i="1"/>
  <c r="I74" i="1"/>
  <c r="I73" i="1"/>
  <c r="I72" i="1"/>
  <c r="I71" i="1"/>
  <c r="I70" i="1"/>
  <c r="I69" i="1"/>
  <c r="I68" i="1"/>
  <c r="I67" i="1"/>
  <c r="I66" i="1"/>
  <c r="I65" i="1"/>
  <c r="I64" i="1"/>
  <c r="I63" i="1"/>
  <c r="I62" i="1"/>
  <c r="I58" i="1"/>
  <c r="I37" i="1"/>
  <c r="I36" i="1"/>
  <c r="I35" i="1"/>
  <c r="I34" i="1"/>
  <c r="I4" i="1"/>
  <c r="I5" i="1"/>
  <c r="I8" i="1"/>
  <c r="I9" i="1"/>
  <c r="I10" i="1"/>
  <c r="I11" i="1"/>
  <c r="I12" i="1"/>
  <c r="I3" i="1"/>
  <c r="S3" i="28" l="1"/>
  <c r="T1885" i="4"/>
  <c r="K423" i="26"/>
  <c r="K419" i="26"/>
  <c r="O433" i="26"/>
  <c r="R430" i="26"/>
  <c r="M431" i="26"/>
  <c r="N431" i="26"/>
  <c r="S430" i="26"/>
  <c r="S429" i="26"/>
  <c r="R429" i="26" s="1"/>
  <c r="O532" i="26"/>
  <c r="O352" i="26"/>
  <c r="O353" i="26" s="1"/>
  <c r="O354" i="26" s="1"/>
  <c r="O355" i="26" s="1"/>
  <c r="O356" i="26" s="1"/>
  <c r="O357" i="26" s="1"/>
  <c r="O358" i="26" s="1"/>
  <c r="O359" i="26" s="1"/>
  <c r="O360" i="26" s="1"/>
  <c r="O361" i="26" s="1"/>
  <c r="O362" i="26" s="1"/>
  <c r="O363" i="26" s="1"/>
  <c r="O364" i="26" s="1"/>
  <c r="O365" i="26" s="1"/>
  <c r="O366" i="26" s="1"/>
  <c r="O367" i="26" s="1"/>
  <c r="O368" i="26" s="1"/>
  <c r="O369" i="26" s="1"/>
  <c r="O370" i="26" s="1"/>
  <c r="O371" i="26" s="1"/>
  <c r="O372" i="26" s="1"/>
  <c r="O373" i="26" s="1"/>
  <c r="O374" i="26" s="1"/>
  <c r="O375" i="26" s="1"/>
  <c r="O376" i="26" s="1"/>
  <c r="O377" i="26" s="1"/>
  <c r="O378" i="26" s="1"/>
  <c r="O379" i="26" s="1"/>
  <c r="O380" i="26" s="1"/>
  <c r="O381" i="26" s="1"/>
  <c r="O382" i="26" s="1"/>
  <c r="O383" i="26" s="1"/>
  <c r="O384" i="26" s="1"/>
  <c r="O385" i="26" s="1"/>
  <c r="O386" i="26" s="1"/>
  <c r="O387" i="26" s="1"/>
  <c r="O388" i="26" s="1"/>
  <c r="O389" i="26" s="1"/>
  <c r="O390" i="26" s="1"/>
  <c r="O391" i="26" s="1"/>
  <c r="O392" i="26" s="1"/>
  <c r="O393" i="26" s="1"/>
  <c r="O394" i="26" s="1"/>
  <c r="O395" i="26" s="1"/>
  <c r="O396" i="26" s="1"/>
  <c r="O397" i="26" s="1"/>
  <c r="O398" i="26" s="1"/>
  <c r="O399" i="26" s="1"/>
  <c r="O400" i="26" s="1"/>
  <c r="M1672" i="4"/>
  <c r="K1672" i="4"/>
  <c r="G1672" i="4" s="1"/>
  <c r="A1672" i="4"/>
  <c r="M1671" i="4"/>
  <c r="K1671" i="4"/>
  <c r="G1671" i="4" s="1"/>
  <c r="A1671" i="4"/>
  <c r="M1670" i="4"/>
  <c r="K1670" i="4"/>
  <c r="G1670" i="4" s="1"/>
  <c r="A1670" i="4"/>
  <c r="J1351" i="4"/>
  <c r="I1351" i="4"/>
  <c r="H1351" i="4"/>
  <c r="J1350" i="4"/>
  <c r="I1350" i="4"/>
  <c r="H1350" i="4"/>
  <c r="J1349" i="4"/>
  <c r="I1349" i="4"/>
  <c r="H1349" i="4"/>
  <c r="J1348" i="4"/>
  <c r="I1348" i="4"/>
  <c r="H1348" i="4"/>
  <c r="J1347" i="4"/>
  <c r="I1347" i="4"/>
  <c r="H1347" i="4"/>
  <c r="J1346" i="4"/>
  <c r="I1346" i="4"/>
  <c r="H1346" i="4"/>
  <c r="J1345" i="4"/>
  <c r="I1345" i="4"/>
  <c r="H1345" i="4"/>
  <c r="J1344" i="4"/>
  <c r="I1344" i="4"/>
  <c r="H1344" i="4"/>
  <c r="J1343" i="4"/>
  <c r="I1343" i="4"/>
  <c r="H1343" i="4"/>
  <c r="J1342" i="4"/>
  <c r="I1342" i="4"/>
  <c r="H1342" i="4"/>
  <c r="G1342" i="4"/>
  <c r="J1341" i="4"/>
  <c r="I1341" i="4"/>
  <c r="H1341" i="4"/>
  <c r="J1340" i="4"/>
  <c r="I1340" i="4"/>
  <c r="H1340" i="4"/>
  <c r="J1339" i="4"/>
  <c r="I1339" i="4"/>
  <c r="H1339" i="4"/>
  <c r="J1338" i="4"/>
  <c r="I1338" i="4"/>
  <c r="H1338" i="4"/>
  <c r="J1337" i="4"/>
  <c r="I1337" i="4"/>
  <c r="H1337" i="4"/>
  <c r="J1336" i="4"/>
  <c r="I1336" i="4"/>
  <c r="H1336" i="4"/>
  <c r="J1335" i="4"/>
  <c r="I1335" i="4"/>
  <c r="H1335" i="4"/>
  <c r="J1334" i="4"/>
  <c r="I1334" i="4"/>
  <c r="H1334" i="4"/>
  <c r="J1333" i="4"/>
  <c r="I1333" i="4"/>
  <c r="H1333" i="4"/>
  <c r="J1332" i="4"/>
  <c r="I1332" i="4"/>
  <c r="H1332" i="4"/>
  <c r="J1331" i="4"/>
  <c r="I1331" i="4"/>
  <c r="H1331" i="4"/>
  <c r="J1330" i="4"/>
  <c r="I1330" i="4"/>
  <c r="H1330" i="4"/>
  <c r="J1329" i="4"/>
  <c r="I1329" i="4"/>
  <c r="H1329" i="4"/>
  <c r="J1328" i="4"/>
  <c r="I1328" i="4"/>
  <c r="H1328" i="4"/>
  <c r="J1327" i="4"/>
  <c r="I1327" i="4"/>
  <c r="H1327" i="4"/>
  <c r="J1326" i="4"/>
  <c r="I1326" i="4"/>
  <c r="H1326" i="4"/>
  <c r="J1325" i="4"/>
  <c r="I1325" i="4"/>
  <c r="H1325" i="4"/>
  <c r="J1324" i="4"/>
  <c r="I1324" i="4"/>
  <c r="H1324" i="4"/>
  <c r="J1323" i="4"/>
  <c r="I1323" i="4"/>
  <c r="H1323" i="4"/>
  <c r="J1322" i="4"/>
  <c r="I1322" i="4"/>
  <c r="H1322" i="4"/>
  <c r="J1321" i="4"/>
  <c r="I1321" i="4"/>
  <c r="H1321" i="4"/>
  <c r="J1320" i="4"/>
  <c r="I1320" i="4"/>
  <c r="H1320" i="4"/>
  <c r="J1319" i="4"/>
  <c r="I1319" i="4"/>
  <c r="H1319" i="4"/>
  <c r="J1318" i="4"/>
  <c r="I1318" i="4"/>
  <c r="H1318" i="4"/>
  <c r="J1317" i="4"/>
  <c r="I1317" i="4"/>
  <c r="H1317" i="4"/>
  <c r="J1316" i="4"/>
  <c r="I1316" i="4"/>
  <c r="H1316" i="4"/>
  <c r="J1315" i="4"/>
  <c r="I1315" i="4"/>
  <c r="H1315" i="4"/>
  <c r="J1314" i="4"/>
  <c r="I1314" i="4"/>
  <c r="H1314" i="4"/>
  <c r="J1313" i="4"/>
  <c r="I1313" i="4"/>
  <c r="H1313" i="4"/>
  <c r="G1313" i="4"/>
  <c r="J1312" i="4"/>
  <c r="I1312" i="4"/>
  <c r="H1312" i="4"/>
  <c r="J1311" i="4"/>
  <c r="I1311" i="4"/>
  <c r="H1311" i="4"/>
  <c r="J1310" i="4"/>
  <c r="I1310" i="4"/>
  <c r="H1310" i="4"/>
  <c r="J1309" i="4"/>
  <c r="I1309" i="4"/>
  <c r="H1309" i="4"/>
  <c r="J1308" i="4"/>
  <c r="I1308" i="4"/>
  <c r="H1308" i="4"/>
  <c r="J1307" i="4"/>
  <c r="I1307" i="4"/>
  <c r="H1307" i="4"/>
  <c r="J1306" i="4"/>
  <c r="I1306" i="4"/>
  <c r="H1306" i="4"/>
  <c r="J1305" i="4"/>
  <c r="I1305" i="4"/>
  <c r="H1305" i="4"/>
  <c r="J1304" i="4"/>
  <c r="I1304" i="4"/>
  <c r="H1304" i="4"/>
  <c r="J1303" i="4"/>
  <c r="I1303" i="4"/>
  <c r="H1303" i="4"/>
  <c r="J1302" i="4"/>
  <c r="I1302" i="4"/>
  <c r="H1302" i="4"/>
  <c r="J1301" i="4"/>
  <c r="I1301" i="4"/>
  <c r="H1301" i="4"/>
  <c r="J1300" i="4"/>
  <c r="I1300" i="4"/>
  <c r="H1300" i="4"/>
  <c r="J1299" i="4"/>
  <c r="I1299" i="4"/>
  <c r="H1299" i="4"/>
  <c r="J1298" i="4"/>
  <c r="I1298" i="4"/>
  <c r="H1298" i="4"/>
  <c r="J1297" i="4"/>
  <c r="I1297" i="4"/>
  <c r="H1297" i="4"/>
  <c r="J1296" i="4"/>
  <c r="I1296" i="4"/>
  <c r="H1296" i="4"/>
  <c r="J1295" i="4"/>
  <c r="I1295" i="4"/>
  <c r="H1295" i="4"/>
  <c r="J1294" i="4"/>
  <c r="I1294" i="4"/>
  <c r="H1294" i="4"/>
  <c r="J1293" i="4"/>
  <c r="I1293" i="4"/>
  <c r="H1293" i="4"/>
  <c r="J1292" i="4"/>
  <c r="I1292" i="4"/>
  <c r="H1292" i="4"/>
  <c r="J1291" i="4"/>
  <c r="I1291" i="4"/>
  <c r="H1291" i="4"/>
  <c r="J1290" i="4"/>
  <c r="I1290" i="4"/>
  <c r="H1290" i="4"/>
  <c r="J1289" i="4"/>
  <c r="I1289" i="4"/>
  <c r="H1289" i="4"/>
  <c r="J1288" i="4"/>
  <c r="I1288" i="4"/>
  <c r="H1288" i="4"/>
  <c r="J1287" i="4"/>
  <c r="I1287" i="4"/>
  <c r="H1287" i="4"/>
  <c r="J1286" i="4"/>
  <c r="I1286" i="4"/>
  <c r="H1286" i="4"/>
  <c r="J1285" i="4"/>
  <c r="I1285" i="4"/>
  <c r="H1285" i="4"/>
  <c r="J1284" i="4"/>
  <c r="I1284" i="4"/>
  <c r="H1284" i="4"/>
  <c r="J1283" i="4"/>
  <c r="I1283" i="4"/>
  <c r="H1283" i="4"/>
  <c r="J1282" i="4"/>
  <c r="I1282" i="4"/>
  <c r="H1282" i="4"/>
  <c r="J1281" i="4"/>
  <c r="I1281" i="4"/>
  <c r="H1281" i="4"/>
  <c r="J1280" i="4"/>
  <c r="I1280" i="4"/>
  <c r="H1280" i="4"/>
  <c r="J1279" i="4"/>
  <c r="I1279" i="4"/>
  <c r="H1279" i="4"/>
  <c r="J1278" i="4"/>
  <c r="I1278" i="4"/>
  <c r="H1278" i="4"/>
  <c r="J1277" i="4"/>
  <c r="I1277" i="4"/>
  <c r="H1277" i="4"/>
  <c r="J1276" i="4"/>
  <c r="I1276" i="4"/>
  <c r="H1276" i="4"/>
  <c r="J1275" i="4"/>
  <c r="I1275" i="4"/>
  <c r="H1275" i="4"/>
  <c r="J1274" i="4"/>
  <c r="I1274" i="4"/>
  <c r="H1274" i="4"/>
  <c r="J1273" i="4"/>
  <c r="I1273" i="4"/>
  <c r="H1273" i="4"/>
  <c r="J1272" i="4"/>
  <c r="I1272" i="4"/>
  <c r="H1272" i="4"/>
  <c r="J1271" i="4"/>
  <c r="I1271" i="4"/>
  <c r="H1271" i="4"/>
  <c r="J1270" i="4"/>
  <c r="I1270" i="4"/>
  <c r="H1270" i="4"/>
  <c r="J1269" i="4"/>
  <c r="I1269" i="4"/>
  <c r="H1269" i="4"/>
  <c r="J1268" i="4"/>
  <c r="I1268" i="4"/>
  <c r="H1268" i="4"/>
  <c r="J1267" i="4"/>
  <c r="I1267" i="4"/>
  <c r="H1267" i="4"/>
  <c r="J1266" i="4"/>
  <c r="I1266" i="4"/>
  <c r="H1266" i="4"/>
  <c r="J1265" i="4"/>
  <c r="I1265" i="4"/>
  <c r="H1265" i="4"/>
  <c r="J1264" i="4"/>
  <c r="I1264" i="4"/>
  <c r="H1264" i="4"/>
  <c r="J1263" i="4"/>
  <c r="I1263" i="4"/>
  <c r="H1263" i="4"/>
  <c r="J1262" i="4"/>
  <c r="I1262" i="4"/>
  <c r="H1262" i="4"/>
  <c r="J1261" i="4"/>
  <c r="I1261" i="4"/>
  <c r="H1261" i="4"/>
  <c r="J1260" i="4"/>
  <c r="I1260" i="4"/>
  <c r="H1260" i="4"/>
  <c r="J1259" i="4"/>
  <c r="I1259" i="4"/>
  <c r="H1259" i="4"/>
  <c r="J1258" i="4"/>
  <c r="I1258" i="4"/>
  <c r="H1258" i="4"/>
  <c r="J1257" i="4"/>
  <c r="I1257" i="4"/>
  <c r="H1257" i="4"/>
  <c r="J1256" i="4"/>
  <c r="I1256" i="4"/>
  <c r="H1256" i="4"/>
  <c r="J1255" i="4"/>
  <c r="I1255" i="4"/>
  <c r="H1255" i="4"/>
  <c r="J1254" i="4"/>
  <c r="I1254" i="4"/>
  <c r="H1254" i="4"/>
  <c r="J1253" i="4"/>
  <c r="I1253" i="4"/>
  <c r="H1253" i="4"/>
  <c r="J1252" i="4"/>
  <c r="I1252" i="4"/>
  <c r="H1252" i="4"/>
  <c r="J1251" i="4"/>
  <c r="I1251" i="4"/>
  <c r="H1251" i="4"/>
  <c r="J1250" i="4"/>
  <c r="I1250" i="4"/>
  <c r="H1250" i="4"/>
  <c r="J1249" i="4"/>
  <c r="I1249" i="4"/>
  <c r="H1249" i="4"/>
  <c r="J1248" i="4"/>
  <c r="I1248" i="4"/>
  <c r="H1248" i="4"/>
  <c r="J1247" i="4"/>
  <c r="I1247" i="4"/>
  <c r="H1247" i="4"/>
  <c r="J1246" i="4"/>
  <c r="I1246" i="4"/>
  <c r="H1246" i="4"/>
  <c r="J1245" i="4"/>
  <c r="I1245" i="4"/>
  <c r="H1245" i="4"/>
  <c r="J1244" i="4"/>
  <c r="I1244" i="4"/>
  <c r="H1244" i="4"/>
  <c r="J1243" i="4"/>
  <c r="I1243" i="4"/>
  <c r="H1243" i="4"/>
  <c r="J1242" i="4"/>
  <c r="I1242" i="4"/>
  <c r="H1242" i="4"/>
  <c r="J1241" i="4"/>
  <c r="I1241" i="4"/>
  <c r="H1241" i="4"/>
  <c r="J1240" i="4"/>
  <c r="I1240" i="4"/>
  <c r="H1240" i="4"/>
  <c r="J1239" i="4"/>
  <c r="I1239" i="4"/>
  <c r="H1239" i="4"/>
  <c r="J1238" i="4"/>
  <c r="I1238" i="4"/>
  <c r="H1238" i="4"/>
  <c r="J1237" i="4"/>
  <c r="I1237" i="4"/>
  <c r="H1237" i="4"/>
  <c r="J1236" i="4"/>
  <c r="I1236" i="4"/>
  <c r="H1236" i="4"/>
  <c r="J1235" i="4"/>
  <c r="I1235" i="4"/>
  <c r="H1235" i="4"/>
  <c r="J1234" i="4"/>
  <c r="I1234" i="4"/>
  <c r="H1234" i="4"/>
  <c r="J1233" i="4"/>
  <c r="I1233" i="4"/>
  <c r="H1233" i="4"/>
  <c r="J1232" i="4"/>
  <c r="I1232" i="4"/>
  <c r="H1232" i="4"/>
  <c r="J1231" i="4"/>
  <c r="I1231" i="4"/>
  <c r="H1231" i="4"/>
  <c r="J1230" i="4"/>
  <c r="I1230" i="4"/>
  <c r="H1230" i="4"/>
  <c r="J1229" i="4"/>
  <c r="I1229" i="4"/>
  <c r="H1229" i="4"/>
  <c r="J1228" i="4"/>
  <c r="I1228" i="4"/>
  <c r="H1228" i="4"/>
  <c r="J1227" i="4"/>
  <c r="I1227" i="4"/>
  <c r="H1227" i="4"/>
  <c r="J1226" i="4"/>
  <c r="I1226" i="4"/>
  <c r="H1226" i="4"/>
  <c r="J1225" i="4"/>
  <c r="I1225" i="4"/>
  <c r="H1225" i="4"/>
  <c r="J1224" i="4"/>
  <c r="I1224" i="4"/>
  <c r="H1224" i="4"/>
  <c r="J1223" i="4"/>
  <c r="I1223" i="4"/>
  <c r="H1223" i="4"/>
  <c r="J1222" i="4"/>
  <c r="I1222" i="4"/>
  <c r="H1222" i="4"/>
  <c r="V769" i="4"/>
  <c r="T769" i="4"/>
  <c r="J769" i="4"/>
  <c r="I769" i="4"/>
  <c r="H769" i="4"/>
  <c r="V768" i="4"/>
  <c r="T768" i="4"/>
  <c r="J768" i="4"/>
  <c r="I768" i="4"/>
  <c r="H768" i="4"/>
  <c r="V767" i="4"/>
  <c r="T767" i="4"/>
  <c r="J767" i="4"/>
  <c r="I767" i="4"/>
  <c r="H767" i="4"/>
  <c r="V766" i="4"/>
  <c r="T766" i="4"/>
  <c r="J766" i="4"/>
  <c r="I766" i="4"/>
  <c r="H766" i="4"/>
  <c r="V765" i="4"/>
  <c r="T765" i="4"/>
  <c r="J765" i="4"/>
  <c r="I765" i="4"/>
  <c r="H765" i="4"/>
  <c r="V764" i="4"/>
  <c r="J764" i="4"/>
  <c r="I764" i="4"/>
  <c r="H764" i="4"/>
  <c r="V763" i="4"/>
  <c r="J763" i="4"/>
  <c r="I763" i="4"/>
  <c r="H763" i="4"/>
  <c r="V762" i="4"/>
  <c r="J762" i="4"/>
  <c r="I762" i="4"/>
  <c r="H762" i="4"/>
  <c r="V761" i="4"/>
  <c r="J761" i="4"/>
  <c r="I761" i="4"/>
  <c r="H761" i="4"/>
  <c r="V760" i="4"/>
  <c r="J760" i="4"/>
  <c r="I760" i="4"/>
  <c r="H760" i="4"/>
  <c r="V759" i="4"/>
  <c r="J759" i="4"/>
  <c r="I759" i="4"/>
  <c r="H759" i="4"/>
  <c r="V758" i="4"/>
  <c r="J758" i="4"/>
  <c r="I758" i="4"/>
  <c r="H758" i="4"/>
  <c r="V757" i="4"/>
  <c r="J757" i="4"/>
  <c r="I757" i="4"/>
  <c r="H757" i="4"/>
  <c r="V756" i="4"/>
  <c r="J756" i="4"/>
  <c r="I756" i="4"/>
  <c r="H756" i="4"/>
  <c r="V755" i="4"/>
  <c r="J755" i="4"/>
  <c r="I755" i="4"/>
  <c r="H755" i="4"/>
  <c r="V754" i="4"/>
  <c r="J754" i="4"/>
  <c r="I754" i="4"/>
  <c r="H754" i="4"/>
  <c r="V753" i="4"/>
  <c r="T753" i="4"/>
  <c r="J753" i="4"/>
  <c r="I753" i="4"/>
  <c r="H753" i="4"/>
  <c r="V752" i="4"/>
  <c r="T752" i="4"/>
  <c r="J752" i="4"/>
  <c r="I752" i="4"/>
  <c r="H752" i="4"/>
  <c r="V751" i="4"/>
  <c r="T751" i="4"/>
  <c r="J751" i="4"/>
  <c r="I751" i="4"/>
  <c r="H751" i="4"/>
  <c r="V750" i="4"/>
  <c r="T760" i="4"/>
  <c r="J750" i="4"/>
  <c r="I750" i="4"/>
  <c r="H750" i="4"/>
  <c r="V749" i="4"/>
  <c r="T749" i="4"/>
  <c r="J749" i="4"/>
  <c r="I749" i="4"/>
  <c r="H749" i="4"/>
  <c r="V748" i="4"/>
  <c r="T748" i="4"/>
  <c r="J748" i="4"/>
  <c r="I748" i="4"/>
  <c r="H748" i="4"/>
  <c r="V747" i="4"/>
  <c r="T747" i="4"/>
  <c r="J747" i="4"/>
  <c r="I747" i="4"/>
  <c r="H747" i="4"/>
  <c r="V746" i="4"/>
  <c r="T746" i="4"/>
  <c r="J746" i="4"/>
  <c r="I746" i="4"/>
  <c r="H746" i="4"/>
  <c r="V745" i="4"/>
  <c r="T745" i="4"/>
  <c r="J745" i="4"/>
  <c r="I745" i="4"/>
  <c r="H745" i="4"/>
  <c r="V744" i="4"/>
  <c r="T763" i="4"/>
  <c r="J744" i="4"/>
  <c r="I744" i="4"/>
  <c r="H744" i="4"/>
  <c r="V743" i="4"/>
  <c r="T743" i="4"/>
  <c r="J743" i="4"/>
  <c r="I743" i="4"/>
  <c r="H743" i="4"/>
  <c r="V742" i="4"/>
  <c r="T762" i="4"/>
  <c r="J742" i="4"/>
  <c r="I742" i="4"/>
  <c r="H742" i="4"/>
  <c r="V741" i="4"/>
  <c r="T741" i="4"/>
  <c r="J741" i="4"/>
  <c r="I741" i="4"/>
  <c r="H741" i="4"/>
  <c r="V740" i="4"/>
  <c r="T761" i="4"/>
  <c r="J740" i="4"/>
  <c r="I740" i="4"/>
  <c r="H740" i="4"/>
  <c r="V739" i="4"/>
  <c r="T739" i="4"/>
  <c r="J739" i="4"/>
  <c r="I739" i="4"/>
  <c r="H739" i="4"/>
  <c r="V738" i="4"/>
  <c r="T754" i="4"/>
  <c r="J738" i="4"/>
  <c r="I738" i="4"/>
  <c r="H738" i="4"/>
  <c r="V737" i="4"/>
  <c r="T737" i="4"/>
  <c r="J737" i="4"/>
  <c r="I737" i="4"/>
  <c r="H737" i="4"/>
  <c r="T192" i="4"/>
  <c r="R192" i="4"/>
  <c r="J192" i="4"/>
  <c r="I192" i="4"/>
  <c r="H192" i="4"/>
  <c r="T191" i="4"/>
  <c r="J191" i="4"/>
  <c r="I191" i="4"/>
  <c r="H191" i="4"/>
  <c r="T190" i="4"/>
  <c r="J190" i="4"/>
  <c r="I190" i="4"/>
  <c r="H190" i="4"/>
  <c r="T189" i="4"/>
  <c r="J189" i="4"/>
  <c r="I189" i="4"/>
  <c r="H189" i="4"/>
  <c r="T188" i="4"/>
  <c r="J188" i="4"/>
  <c r="I188" i="4"/>
  <c r="H188" i="4"/>
  <c r="T187" i="4"/>
  <c r="J187" i="4"/>
  <c r="I187" i="4"/>
  <c r="H187" i="4"/>
  <c r="T186" i="4"/>
  <c r="J186" i="4"/>
  <c r="I186" i="4"/>
  <c r="H186" i="4"/>
  <c r="T185" i="4"/>
  <c r="J185" i="4"/>
  <c r="I185" i="4"/>
  <c r="H185" i="4"/>
  <c r="T184" i="4"/>
  <c r="J184" i="4"/>
  <c r="I184" i="4"/>
  <c r="H184" i="4"/>
  <c r="T183" i="4"/>
  <c r="R183" i="4"/>
  <c r="J183" i="4"/>
  <c r="I183" i="4"/>
  <c r="H183" i="4"/>
  <c r="T182" i="4"/>
  <c r="R182" i="4"/>
  <c r="J182" i="4"/>
  <c r="I182" i="4"/>
  <c r="H182" i="4"/>
  <c r="T181" i="4"/>
  <c r="J181" i="4"/>
  <c r="I181" i="4"/>
  <c r="H181" i="4"/>
  <c r="T180" i="4"/>
  <c r="J180" i="4"/>
  <c r="I180" i="4"/>
  <c r="H180" i="4"/>
  <c r="T179" i="4"/>
  <c r="J179" i="4"/>
  <c r="I179" i="4"/>
  <c r="H179" i="4"/>
  <c r="T178" i="4"/>
  <c r="J178" i="4"/>
  <c r="I178" i="4"/>
  <c r="H178" i="4"/>
  <c r="T177" i="4"/>
  <c r="J177" i="4"/>
  <c r="I177" i="4"/>
  <c r="H177" i="4"/>
  <c r="T176" i="4"/>
  <c r="J176" i="4"/>
  <c r="I176" i="4"/>
  <c r="H176" i="4"/>
  <c r="T175" i="4"/>
  <c r="J175" i="4"/>
  <c r="I175" i="4"/>
  <c r="H175" i="4"/>
  <c r="T174" i="4"/>
  <c r="J174" i="4"/>
  <c r="I174" i="4"/>
  <c r="H174" i="4"/>
  <c r="T173" i="4"/>
  <c r="R173" i="4"/>
  <c r="J173" i="4"/>
  <c r="I173" i="4"/>
  <c r="H173" i="4"/>
  <c r="T172" i="4"/>
  <c r="R172" i="4"/>
  <c r="J172" i="4"/>
  <c r="I172" i="4"/>
  <c r="H172" i="4"/>
  <c r="T171" i="4"/>
  <c r="R171" i="4"/>
  <c r="J171" i="4"/>
  <c r="I171" i="4"/>
  <c r="H171" i="4"/>
  <c r="T170" i="4"/>
  <c r="R170" i="4"/>
  <c r="J170" i="4"/>
  <c r="I170" i="4"/>
  <c r="H170" i="4"/>
  <c r="T169" i="4"/>
  <c r="R169" i="4"/>
  <c r="J169" i="4"/>
  <c r="I169" i="4"/>
  <c r="H169" i="4"/>
  <c r="T168" i="4"/>
  <c r="R168" i="4"/>
  <c r="J168" i="4"/>
  <c r="I168" i="4"/>
  <c r="H168" i="4"/>
  <c r="T167" i="4"/>
  <c r="R167" i="4"/>
  <c r="J167" i="4"/>
  <c r="I167" i="4"/>
  <c r="H167" i="4"/>
  <c r="T166" i="4"/>
  <c r="R166" i="4"/>
  <c r="J166" i="4"/>
  <c r="I166" i="4"/>
  <c r="H166" i="4"/>
  <c r="T165" i="4"/>
  <c r="J165" i="4"/>
  <c r="I165" i="4"/>
  <c r="H165" i="4"/>
  <c r="T164" i="4"/>
  <c r="J164" i="4"/>
  <c r="I164" i="4"/>
  <c r="H164" i="4"/>
  <c r="T163" i="4"/>
  <c r="J163" i="4"/>
  <c r="I163" i="4"/>
  <c r="H163" i="4"/>
  <c r="T162" i="4"/>
  <c r="J162" i="4"/>
  <c r="I162" i="4"/>
  <c r="H162" i="4"/>
  <c r="T161" i="4"/>
  <c r="J161" i="4"/>
  <c r="I161" i="4"/>
  <c r="H161" i="4"/>
  <c r="T160" i="4"/>
  <c r="J160" i="4"/>
  <c r="I160" i="4"/>
  <c r="H160" i="4"/>
  <c r="T159" i="4"/>
  <c r="J159" i="4"/>
  <c r="I159" i="4"/>
  <c r="H159" i="4"/>
  <c r="T158" i="4"/>
  <c r="J158" i="4"/>
  <c r="I158" i="4"/>
  <c r="H158" i="4"/>
  <c r="T157" i="4"/>
  <c r="J157" i="4"/>
  <c r="I157" i="4"/>
  <c r="H157" i="4"/>
  <c r="T156" i="4"/>
  <c r="J156" i="4"/>
  <c r="I156" i="4"/>
  <c r="H156" i="4"/>
  <c r="T155" i="4"/>
  <c r="J155" i="4"/>
  <c r="I155" i="4"/>
  <c r="H155" i="4"/>
  <c r="T154" i="4"/>
  <c r="J154" i="4"/>
  <c r="I154" i="4"/>
  <c r="H154" i="4"/>
  <c r="T153" i="4"/>
  <c r="J153" i="4"/>
  <c r="I153" i="4"/>
  <c r="H153" i="4"/>
  <c r="T152" i="4"/>
  <c r="J152" i="4"/>
  <c r="I152" i="4"/>
  <c r="H152" i="4"/>
  <c r="T151" i="4"/>
  <c r="J151" i="4"/>
  <c r="I151" i="4"/>
  <c r="H151" i="4"/>
  <c r="T150" i="4"/>
  <c r="J150" i="4"/>
  <c r="I150" i="4"/>
  <c r="H150" i="4"/>
  <c r="T149" i="4"/>
  <c r="J149" i="4"/>
  <c r="I149" i="4"/>
  <c r="H149" i="4"/>
  <c r="T148" i="4"/>
  <c r="R148" i="4"/>
  <c r="J148" i="4"/>
  <c r="I148" i="4"/>
  <c r="H148" i="4"/>
  <c r="T147" i="4"/>
  <c r="R147" i="4"/>
  <c r="J147" i="4"/>
  <c r="I147" i="4"/>
  <c r="H147" i="4"/>
  <c r="T146" i="4"/>
  <c r="R146" i="4"/>
  <c r="J146" i="4"/>
  <c r="I146" i="4"/>
  <c r="H146" i="4"/>
  <c r="T145" i="4"/>
  <c r="R145" i="4"/>
  <c r="J145" i="4"/>
  <c r="I145" i="4"/>
  <c r="H145" i="4"/>
  <c r="T144" i="4"/>
  <c r="R144" i="4"/>
  <c r="J144" i="4"/>
  <c r="I144" i="4"/>
  <c r="H144" i="4"/>
  <c r="T143" i="4"/>
  <c r="R143" i="4"/>
  <c r="J143" i="4"/>
  <c r="I143" i="4"/>
  <c r="H143" i="4"/>
  <c r="T142" i="4"/>
  <c r="R142" i="4"/>
  <c r="J142" i="4"/>
  <c r="I142" i="4"/>
  <c r="H142" i="4"/>
  <c r="T141" i="4"/>
  <c r="R141" i="4"/>
  <c r="J141" i="4"/>
  <c r="I141" i="4"/>
  <c r="H141" i="4"/>
  <c r="T140" i="4"/>
  <c r="R140" i="4"/>
  <c r="J140" i="4"/>
  <c r="I140" i="4"/>
  <c r="H140" i="4"/>
  <c r="T139" i="4"/>
  <c r="R139" i="4"/>
  <c r="J139" i="4"/>
  <c r="I139" i="4"/>
  <c r="H139" i="4"/>
  <c r="J138" i="4"/>
  <c r="I138" i="4"/>
  <c r="H138" i="4"/>
  <c r="J137" i="4"/>
  <c r="I137" i="4"/>
  <c r="H137" i="4"/>
  <c r="J136" i="4"/>
  <c r="I136" i="4"/>
  <c r="H136" i="4"/>
  <c r="J135" i="4"/>
  <c r="I135" i="4"/>
  <c r="H135" i="4"/>
  <c r="J134" i="4"/>
  <c r="I134" i="4"/>
  <c r="H134" i="4"/>
  <c r="J133" i="4"/>
  <c r="I133" i="4"/>
  <c r="H133" i="4"/>
  <c r="J132" i="4"/>
  <c r="I132" i="4"/>
  <c r="H132" i="4"/>
  <c r="J131" i="4"/>
  <c r="I131" i="4"/>
  <c r="H131" i="4"/>
  <c r="J130" i="4"/>
  <c r="I130" i="4"/>
  <c r="H130" i="4"/>
  <c r="J129" i="4"/>
  <c r="I129" i="4"/>
  <c r="H129" i="4"/>
  <c r="J128" i="4"/>
  <c r="I128" i="4"/>
  <c r="H128" i="4"/>
  <c r="J127" i="4"/>
  <c r="I127" i="4"/>
  <c r="H127" i="4"/>
  <c r="R124" i="4"/>
  <c r="J124" i="4"/>
  <c r="I124" i="4"/>
  <c r="H124" i="4"/>
  <c r="R123" i="4"/>
  <c r="J123" i="4"/>
  <c r="I123" i="4"/>
  <c r="H123" i="4"/>
  <c r="R122" i="4"/>
  <c r="J122" i="4"/>
  <c r="I122" i="4"/>
  <c r="H122" i="4"/>
  <c r="R121" i="4"/>
  <c r="J121" i="4"/>
  <c r="I121" i="4"/>
  <c r="H121" i="4"/>
  <c r="R120" i="4"/>
  <c r="J120" i="4"/>
  <c r="I120" i="4"/>
  <c r="H120" i="4"/>
  <c r="R119" i="4"/>
  <c r="J119" i="4"/>
  <c r="I119" i="4"/>
  <c r="H119" i="4"/>
  <c r="R118" i="4"/>
  <c r="J118" i="4"/>
  <c r="I118" i="4"/>
  <c r="H118" i="4"/>
  <c r="R117" i="4"/>
  <c r="J117" i="4"/>
  <c r="I117" i="4"/>
  <c r="H117" i="4"/>
  <c r="R116" i="4"/>
  <c r="J116" i="4"/>
  <c r="I116" i="4"/>
  <c r="H116" i="4"/>
  <c r="R115" i="4"/>
  <c r="J115" i="4"/>
  <c r="I115" i="4"/>
  <c r="H115" i="4"/>
  <c r="R114" i="4"/>
  <c r="J114" i="4"/>
  <c r="I114" i="4"/>
  <c r="H114" i="4"/>
  <c r="R113" i="4"/>
  <c r="J113" i="4"/>
  <c r="I113" i="4"/>
  <c r="H113" i="4"/>
  <c r="R112" i="4"/>
  <c r="J112" i="4"/>
  <c r="I112" i="4"/>
  <c r="H112" i="4"/>
  <c r="R111" i="4"/>
  <c r="J111" i="4"/>
  <c r="I111" i="4"/>
  <c r="H111" i="4"/>
  <c r="R110" i="4"/>
  <c r="J110" i="4"/>
  <c r="I110" i="4"/>
  <c r="H110" i="4"/>
  <c r="R109" i="4"/>
  <c r="J109" i="4"/>
  <c r="I109" i="4"/>
  <c r="H109" i="4"/>
  <c r="R108" i="4"/>
  <c r="J108" i="4"/>
  <c r="I108" i="4"/>
  <c r="H108" i="4"/>
  <c r="R107" i="4"/>
  <c r="J107" i="4"/>
  <c r="I107" i="4"/>
  <c r="H107" i="4"/>
  <c r="R106" i="4"/>
  <c r="J106" i="4"/>
  <c r="I106" i="4"/>
  <c r="H106" i="4"/>
  <c r="R105" i="4"/>
  <c r="J105" i="4"/>
  <c r="I105" i="4"/>
  <c r="H105" i="4"/>
  <c r="R104" i="4"/>
  <c r="J104" i="4"/>
  <c r="I104" i="4"/>
  <c r="H104" i="4"/>
  <c r="R103" i="4"/>
  <c r="J103" i="4"/>
  <c r="I103" i="4"/>
  <c r="H103" i="4"/>
  <c r="R102" i="4"/>
  <c r="J102" i="4"/>
  <c r="I102" i="4"/>
  <c r="H102" i="4"/>
  <c r="R101" i="4"/>
  <c r="J101" i="4"/>
  <c r="I101" i="4"/>
  <c r="H101" i="4"/>
  <c r="R100" i="4"/>
  <c r="J100" i="4"/>
  <c r="I100" i="4"/>
  <c r="H100" i="4"/>
  <c r="R99" i="4"/>
  <c r="J99" i="4"/>
  <c r="I99" i="4"/>
  <c r="H99" i="4"/>
  <c r="R98" i="4"/>
  <c r="J98" i="4"/>
  <c r="I98" i="4"/>
  <c r="H98" i="4"/>
  <c r="R97" i="4"/>
  <c r="J97" i="4"/>
  <c r="I97" i="4"/>
  <c r="H97" i="4"/>
  <c r="R96" i="4"/>
  <c r="J96" i="4"/>
  <c r="I96" i="4"/>
  <c r="H96" i="4"/>
  <c r="R95" i="4"/>
  <c r="J95" i="4"/>
  <c r="I95" i="4"/>
  <c r="H95" i="4"/>
  <c r="R94" i="4"/>
  <c r="J94" i="4"/>
  <c r="I94" i="4"/>
  <c r="H94" i="4"/>
  <c r="R93" i="4"/>
  <c r="J93" i="4"/>
  <c r="I93" i="4"/>
  <c r="H93" i="4"/>
  <c r="R92" i="4"/>
  <c r="J92" i="4"/>
  <c r="I92" i="4"/>
  <c r="H92" i="4"/>
  <c r="R91" i="4"/>
  <c r="J91" i="4"/>
  <c r="I91" i="4"/>
  <c r="H91" i="4"/>
  <c r="R90" i="4"/>
  <c r="J90" i="4"/>
  <c r="I90" i="4"/>
  <c r="H90" i="4"/>
  <c r="R89" i="4"/>
  <c r="J89" i="4"/>
  <c r="I89" i="4"/>
  <c r="H89" i="4"/>
  <c r="R88" i="4"/>
  <c r="J88" i="4"/>
  <c r="I88" i="4"/>
  <c r="H88" i="4"/>
  <c r="R87" i="4"/>
  <c r="J87" i="4"/>
  <c r="I87" i="4"/>
  <c r="H87" i="4"/>
  <c r="R86" i="4"/>
  <c r="J86" i="4"/>
  <c r="I86" i="4"/>
  <c r="H86" i="4"/>
  <c r="R85" i="4"/>
  <c r="J85" i="4"/>
  <c r="I85" i="4"/>
  <c r="H85" i="4"/>
  <c r="R84" i="4"/>
  <c r="J84" i="4"/>
  <c r="I84" i="4"/>
  <c r="H84" i="4"/>
  <c r="R83" i="4"/>
  <c r="J83" i="4"/>
  <c r="I83" i="4"/>
  <c r="H83" i="4"/>
  <c r="R82" i="4"/>
  <c r="J82" i="4"/>
  <c r="I82" i="4"/>
  <c r="H82" i="4"/>
  <c r="R81" i="4"/>
  <c r="J81" i="4"/>
  <c r="I81" i="4"/>
  <c r="H81" i="4"/>
  <c r="R80" i="4"/>
  <c r="J80" i="4"/>
  <c r="I80" i="4"/>
  <c r="H80" i="4"/>
  <c r="R79" i="4"/>
  <c r="J79" i="4"/>
  <c r="I79" i="4"/>
  <c r="H79" i="4"/>
  <c r="R78" i="4"/>
  <c r="J78" i="4"/>
  <c r="I78" i="4"/>
  <c r="H78" i="4"/>
  <c r="R77" i="4"/>
  <c r="J77" i="4"/>
  <c r="I77" i="4"/>
  <c r="H77" i="4"/>
  <c r="R76" i="4"/>
  <c r="J76" i="4"/>
  <c r="I76" i="4"/>
  <c r="H76" i="4"/>
  <c r="R75" i="4"/>
  <c r="J75" i="4"/>
  <c r="I75" i="4"/>
  <c r="H75" i="4"/>
  <c r="R74" i="4"/>
  <c r="J74" i="4"/>
  <c r="I74" i="4"/>
  <c r="H74" i="4"/>
  <c r="R73" i="4"/>
  <c r="J73" i="4"/>
  <c r="I73" i="4"/>
  <c r="H73" i="4"/>
  <c r="R72" i="4"/>
  <c r="J72" i="4"/>
  <c r="I72" i="4"/>
  <c r="H72" i="4"/>
  <c r="R71" i="4"/>
  <c r="J71" i="4"/>
  <c r="I71" i="4"/>
  <c r="H71" i="4"/>
  <c r="R70" i="4"/>
  <c r="J70" i="4"/>
  <c r="I70" i="4"/>
  <c r="H70" i="4"/>
  <c r="R69" i="4"/>
  <c r="J69" i="4"/>
  <c r="I69" i="4"/>
  <c r="H69" i="4"/>
  <c r="R68" i="4"/>
  <c r="J68" i="4"/>
  <c r="I68" i="4"/>
  <c r="H68" i="4"/>
  <c r="V66" i="4"/>
  <c r="R66" i="4"/>
  <c r="H66" i="4"/>
  <c r="F66" i="4"/>
  <c r="V65" i="4"/>
  <c r="R65" i="4"/>
  <c r="H65" i="4"/>
  <c r="F65" i="4"/>
  <c r="V64" i="4"/>
  <c r="R64" i="4"/>
  <c r="H64" i="4"/>
  <c r="F64" i="4"/>
  <c r="V63" i="4"/>
  <c r="R63" i="4"/>
  <c r="H63" i="4"/>
  <c r="F63" i="4"/>
  <c r="V62" i="4"/>
  <c r="R62" i="4"/>
  <c r="H62" i="4"/>
  <c r="F62" i="4"/>
  <c r="V61" i="4"/>
  <c r="R61" i="4"/>
  <c r="H61" i="4"/>
  <c r="F61" i="4"/>
  <c r="V60" i="4"/>
  <c r="R60" i="4"/>
  <c r="H60" i="4"/>
  <c r="F60" i="4"/>
  <c r="V59" i="4"/>
  <c r="R59" i="4"/>
  <c r="H59" i="4"/>
  <c r="F59" i="4"/>
  <c r="V58" i="4"/>
  <c r="R58" i="4"/>
  <c r="H58" i="4"/>
  <c r="F58" i="4"/>
  <c r="V57" i="4"/>
  <c r="R57" i="4"/>
  <c r="H57" i="4"/>
  <c r="F57" i="4"/>
  <c r="V56" i="4"/>
  <c r="R56" i="4"/>
  <c r="H56" i="4"/>
  <c r="F56" i="4"/>
  <c r="V55" i="4"/>
  <c r="R55" i="4"/>
  <c r="H55" i="4"/>
  <c r="F55" i="4"/>
  <c r="V54" i="4"/>
  <c r="R54" i="4"/>
  <c r="H54" i="4"/>
  <c r="F54" i="4"/>
  <c r="V53" i="4"/>
  <c r="R53" i="4"/>
  <c r="H53" i="4"/>
  <c r="F53" i="4"/>
  <c r="V52" i="4"/>
  <c r="R52" i="4"/>
  <c r="H52" i="4"/>
  <c r="F52" i="4"/>
  <c r="V51" i="4"/>
  <c r="R51" i="4"/>
  <c r="H51" i="4"/>
  <c r="F51" i="4"/>
  <c r="V50" i="4"/>
  <c r="R50" i="4"/>
  <c r="H50" i="4"/>
  <c r="F50" i="4"/>
  <c r="V49" i="4"/>
  <c r="R49" i="4"/>
  <c r="H49" i="4"/>
  <c r="F49" i="4"/>
  <c r="V48" i="4"/>
  <c r="R48" i="4"/>
  <c r="H48" i="4"/>
  <c r="F48" i="4"/>
  <c r="V47" i="4"/>
  <c r="R47" i="4"/>
  <c r="H47" i="4"/>
  <c r="F47" i="4"/>
  <c r="V46" i="4"/>
  <c r="R46" i="4"/>
  <c r="H46" i="4"/>
  <c r="F46" i="4"/>
  <c r="V45" i="4"/>
  <c r="R45" i="4"/>
  <c r="H45" i="4"/>
  <c r="F45" i="4"/>
  <c r="V44" i="4"/>
  <c r="R44" i="4"/>
  <c r="H44" i="4"/>
  <c r="F44" i="4"/>
  <c r="V43" i="4"/>
  <c r="R43" i="4"/>
  <c r="H43" i="4"/>
  <c r="F43" i="4"/>
  <c r="V42" i="4"/>
  <c r="R42" i="4"/>
  <c r="H42" i="4"/>
  <c r="F42" i="4"/>
  <c r="V41" i="4"/>
  <c r="R41" i="4"/>
  <c r="H41" i="4"/>
  <c r="F41" i="4"/>
  <c r="V40" i="4"/>
  <c r="R40" i="4"/>
  <c r="H40" i="4"/>
  <c r="F40" i="4"/>
  <c r="V39" i="4"/>
  <c r="R39" i="4"/>
  <c r="H39" i="4"/>
  <c r="F39" i="4"/>
  <c r="V38" i="4"/>
  <c r="R38" i="4"/>
  <c r="H38" i="4"/>
  <c r="F38" i="4"/>
  <c r="V37" i="4"/>
  <c r="R37" i="4"/>
  <c r="H37" i="4"/>
  <c r="F37" i="4"/>
  <c r="V36" i="4"/>
  <c r="R36" i="4"/>
  <c r="H36" i="4"/>
  <c r="F36" i="4"/>
  <c r="V35" i="4"/>
  <c r="R35" i="4"/>
  <c r="H35" i="4"/>
  <c r="F35" i="4"/>
  <c r="V34" i="4"/>
  <c r="R34" i="4"/>
  <c r="H34" i="4"/>
  <c r="F34" i="4"/>
  <c r="V33" i="4"/>
  <c r="R33" i="4"/>
  <c r="H33" i="4"/>
  <c r="F33" i="4"/>
  <c r="V32" i="4"/>
  <c r="R32" i="4"/>
  <c r="H32" i="4"/>
  <c r="F32" i="4"/>
  <c r="V31" i="4"/>
  <c r="R31" i="4"/>
  <c r="H31" i="4"/>
  <c r="F31" i="4"/>
  <c r="V30" i="4"/>
  <c r="R30" i="4"/>
  <c r="H30" i="4"/>
  <c r="F30" i="4"/>
  <c r="V29" i="4"/>
  <c r="R29" i="4"/>
  <c r="H29" i="4"/>
  <c r="F29" i="4"/>
  <c r="V28" i="4"/>
  <c r="R28" i="4"/>
  <c r="H28" i="4"/>
  <c r="F28" i="4"/>
  <c r="V27" i="4"/>
  <c r="R27" i="4"/>
  <c r="H27" i="4"/>
  <c r="F27" i="4"/>
  <c r="V26" i="4"/>
  <c r="R26" i="4"/>
  <c r="H26" i="4"/>
  <c r="F26" i="4"/>
  <c r="V25" i="4"/>
  <c r="R25" i="4"/>
  <c r="H25" i="4"/>
  <c r="F25" i="4"/>
  <c r="V24" i="4"/>
  <c r="R24" i="4"/>
  <c r="H24" i="4"/>
  <c r="F24" i="4"/>
  <c r="V23" i="4"/>
  <c r="R23" i="4"/>
  <c r="H23" i="4"/>
  <c r="F23" i="4"/>
  <c r="V22" i="4"/>
  <c r="R22" i="4"/>
  <c r="H22" i="4"/>
  <c r="F22" i="4"/>
  <c r="V21" i="4"/>
  <c r="R21" i="4"/>
  <c r="H21" i="4"/>
  <c r="F21" i="4"/>
  <c r="V20" i="4"/>
  <c r="R20" i="4"/>
  <c r="H20" i="4"/>
  <c r="F20" i="4"/>
  <c r="V19" i="4"/>
  <c r="R19" i="4"/>
  <c r="H19" i="4"/>
  <c r="F19" i="4"/>
  <c r="V18" i="4"/>
  <c r="R18" i="4"/>
  <c r="H18" i="4"/>
  <c r="F18" i="4"/>
  <c r="V17" i="4"/>
  <c r="R17" i="4"/>
  <c r="H17" i="4"/>
  <c r="F17" i="4"/>
  <c r="V16" i="4"/>
  <c r="R16" i="4"/>
  <c r="H16" i="4"/>
  <c r="F16" i="4"/>
  <c r="V15" i="4"/>
  <c r="R15" i="4"/>
  <c r="H15" i="4"/>
  <c r="F15" i="4"/>
  <c r="V14" i="4"/>
  <c r="R14" i="4"/>
  <c r="H14" i="4"/>
  <c r="F14" i="4"/>
  <c r="V13" i="4"/>
  <c r="R13" i="4"/>
  <c r="H13" i="4"/>
  <c r="F13" i="4"/>
  <c r="V12" i="4"/>
  <c r="R12" i="4"/>
  <c r="H12" i="4"/>
  <c r="F12" i="4"/>
  <c r="V11" i="4"/>
  <c r="R11" i="4"/>
  <c r="H11" i="4"/>
  <c r="F11" i="4"/>
  <c r="V10" i="4"/>
  <c r="R10" i="4"/>
  <c r="H10" i="4"/>
  <c r="F10" i="4"/>
  <c r="V9" i="4"/>
  <c r="R9" i="4"/>
  <c r="H9" i="4"/>
  <c r="F9" i="4"/>
  <c r="V8" i="4"/>
  <c r="R8" i="4"/>
  <c r="H8" i="4"/>
  <c r="F8" i="4"/>
  <c r="V7" i="4"/>
  <c r="R7" i="4"/>
  <c r="H7" i="4"/>
  <c r="F7" i="4"/>
  <c r="V6" i="4"/>
  <c r="R6" i="4"/>
  <c r="H6" i="4"/>
  <c r="F6" i="4"/>
  <c r="V5" i="4"/>
  <c r="R5" i="4"/>
  <c r="H5" i="4"/>
  <c r="F5" i="4"/>
  <c r="V4" i="4"/>
  <c r="R4" i="4"/>
  <c r="H4" i="4"/>
  <c r="F4" i="4"/>
  <c r="V1878" i="4"/>
  <c r="J1878" i="4"/>
  <c r="I1878" i="4"/>
  <c r="H1878" i="4"/>
  <c r="V1877" i="4"/>
  <c r="J1877" i="4"/>
  <c r="I1877" i="4"/>
  <c r="H1877" i="4"/>
  <c r="V1876" i="4"/>
  <c r="J1876" i="4"/>
  <c r="I1876" i="4"/>
  <c r="H1876" i="4"/>
  <c r="V1875" i="4"/>
  <c r="J1875" i="4"/>
  <c r="I1875" i="4"/>
  <c r="H1875" i="4"/>
  <c r="V1873" i="4"/>
  <c r="U1873" i="4"/>
  <c r="U1890" i="4" s="1"/>
  <c r="T1890" i="4" s="1"/>
  <c r="J1873" i="4"/>
  <c r="I1873" i="4"/>
  <c r="H1873" i="4"/>
  <c r="V1872" i="4"/>
  <c r="J1872" i="4"/>
  <c r="I1872" i="4"/>
  <c r="H1872" i="4"/>
  <c r="V1871" i="4"/>
  <c r="J1871" i="4"/>
  <c r="I1871" i="4"/>
  <c r="H1871" i="4"/>
  <c r="V1869" i="4"/>
  <c r="J1869" i="4"/>
  <c r="I1869" i="4"/>
  <c r="H1869" i="4"/>
  <c r="V1868" i="4"/>
  <c r="J1868" i="4"/>
  <c r="I1868" i="4"/>
  <c r="H1868" i="4"/>
  <c r="V1867" i="4"/>
  <c r="U1867" i="4"/>
  <c r="J1867" i="4"/>
  <c r="I1867" i="4"/>
  <c r="H1867" i="4"/>
  <c r="V1865" i="4"/>
  <c r="J1865" i="4"/>
  <c r="I1865" i="4"/>
  <c r="H1865" i="4"/>
  <c r="V1864" i="4"/>
  <c r="J1864" i="4"/>
  <c r="I1864" i="4"/>
  <c r="H1864" i="4"/>
  <c r="V1863" i="4"/>
  <c r="J1863" i="4"/>
  <c r="I1863" i="4"/>
  <c r="H1863" i="4"/>
  <c r="V1862" i="4"/>
  <c r="U1862" i="4"/>
  <c r="T1862" i="4" s="1"/>
  <c r="J1862" i="4"/>
  <c r="I1862" i="4"/>
  <c r="H1862" i="4"/>
  <c r="V1860" i="4"/>
  <c r="J1860" i="4"/>
  <c r="I1860" i="4"/>
  <c r="H1860" i="4"/>
  <c r="V1859" i="4"/>
  <c r="J1859" i="4"/>
  <c r="I1859" i="4"/>
  <c r="H1859" i="4"/>
  <c r="V1858" i="4"/>
  <c r="J1858" i="4"/>
  <c r="I1858" i="4"/>
  <c r="H1858" i="4"/>
  <c r="V1857" i="4"/>
  <c r="J1857" i="4"/>
  <c r="I1857" i="4"/>
  <c r="H1857" i="4"/>
  <c r="V1855" i="4"/>
  <c r="J1855" i="4"/>
  <c r="I1855" i="4"/>
  <c r="H1855" i="4"/>
  <c r="V1854" i="4"/>
  <c r="T1854" i="4"/>
  <c r="J1854" i="4"/>
  <c r="I1854" i="4"/>
  <c r="H1854" i="4"/>
  <c r="V1853" i="4"/>
  <c r="U1863" i="4"/>
  <c r="J1853" i="4"/>
  <c r="I1853" i="4"/>
  <c r="H1853" i="4"/>
  <c r="V1851" i="4"/>
  <c r="J1851" i="4"/>
  <c r="I1851" i="4"/>
  <c r="H1851" i="4"/>
  <c r="V1850" i="4"/>
  <c r="U1850" i="4"/>
  <c r="T1850" i="4" s="1"/>
  <c r="J1850" i="4"/>
  <c r="I1850" i="4"/>
  <c r="H1850" i="4"/>
  <c r="V1849" i="4"/>
  <c r="J1849" i="4"/>
  <c r="I1849" i="4"/>
  <c r="H1849" i="4"/>
  <c r="V1848" i="4"/>
  <c r="J1848" i="4"/>
  <c r="I1848" i="4"/>
  <c r="H1848" i="4"/>
  <c r="V1846" i="4"/>
  <c r="U1846" i="4"/>
  <c r="T1846" i="4" s="1"/>
  <c r="J1846" i="4"/>
  <c r="I1846" i="4"/>
  <c r="H1846" i="4"/>
  <c r="V1845" i="4"/>
  <c r="U1845" i="4"/>
  <c r="U1851" i="4" s="1"/>
  <c r="J1845" i="4"/>
  <c r="I1845" i="4"/>
  <c r="H1845" i="4"/>
  <c r="V1844" i="4"/>
  <c r="U1844" i="4"/>
  <c r="T1844" i="4" s="1"/>
  <c r="J1844" i="4"/>
  <c r="I1844" i="4"/>
  <c r="H1844" i="4"/>
  <c r="T1867" i="4" l="1"/>
  <c r="U1881" i="4"/>
  <c r="T1881" i="4" s="1"/>
  <c r="J15" i="4"/>
  <c r="G15" i="4"/>
  <c r="I4" i="4"/>
  <c r="G4" i="4"/>
  <c r="J7" i="4"/>
  <c r="G7" i="4"/>
  <c r="I10" i="4"/>
  <c r="G10" i="4"/>
  <c r="J33" i="4"/>
  <c r="G33" i="4"/>
  <c r="J36" i="4"/>
  <c r="G36" i="4"/>
  <c r="I39" i="4"/>
  <c r="G39" i="4"/>
  <c r="J42" i="4"/>
  <c r="G42" i="4"/>
  <c r="J45" i="4"/>
  <c r="G45" i="4"/>
  <c r="I48" i="4"/>
  <c r="G48" i="4"/>
  <c r="J51" i="4"/>
  <c r="G51" i="4"/>
  <c r="J54" i="4"/>
  <c r="G54" i="4"/>
  <c r="J57" i="4"/>
  <c r="G57" i="4"/>
  <c r="J60" i="4"/>
  <c r="G60" i="4"/>
  <c r="I63" i="4"/>
  <c r="G63" i="4"/>
  <c r="J66" i="4"/>
  <c r="G66" i="4"/>
  <c r="I12" i="4"/>
  <c r="G12" i="4"/>
  <c r="J18" i="4"/>
  <c r="G18" i="4"/>
  <c r="J21" i="4"/>
  <c r="G21" i="4"/>
  <c r="I30" i="4"/>
  <c r="G30" i="4"/>
  <c r="J27" i="4"/>
  <c r="G27" i="4"/>
  <c r="I13" i="4"/>
  <c r="G13" i="4"/>
  <c r="J24" i="4"/>
  <c r="G24" i="4"/>
  <c r="J16" i="4"/>
  <c r="G16" i="4"/>
  <c r="J19" i="4"/>
  <c r="G19" i="4"/>
  <c r="I22" i="4"/>
  <c r="G22" i="4"/>
  <c r="J25" i="4"/>
  <c r="G25" i="4"/>
  <c r="I28" i="4"/>
  <c r="G28" i="4"/>
  <c r="J31" i="4"/>
  <c r="G31" i="4"/>
  <c r="I5" i="4"/>
  <c r="G5" i="4"/>
  <c r="I8" i="4"/>
  <c r="G8" i="4"/>
  <c r="I11" i="4"/>
  <c r="G11" i="4"/>
  <c r="J34" i="4"/>
  <c r="G34" i="4"/>
  <c r="J37" i="4"/>
  <c r="G37" i="4"/>
  <c r="I40" i="4"/>
  <c r="G40" i="4"/>
  <c r="J43" i="4"/>
  <c r="G43" i="4"/>
  <c r="J46" i="4"/>
  <c r="G46" i="4"/>
  <c r="J49" i="4"/>
  <c r="G49" i="4"/>
  <c r="J52" i="4"/>
  <c r="G52" i="4"/>
  <c r="I55" i="4"/>
  <c r="G55" i="4"/>
  <c r="J58" i="4"/>
  <c r="G58" i="4"/>
  <c r="J61" i="4"/>
  <c r="G61" i="4"/>
  <c r="J64" i="4"/>
  <c r="G64" i="4"/>
  <c r="J23" i="4"/>
  <c r="G23" i="4"/>
  <c r="I14" i="4"/>
  <c r="G14" i="4"/>
  <c r="I17" i="4"/>
  <c r="G17" i="4"/>
  <c r="I20" i="4"/>
  <c r="G20" i="4"/>
  <c r="J26" i="4"/>
  <c r="G26" i="4"/>
  <c r="J29" i="4"/>
  <c r="G29" i="4"/>
  <c r="J32" i="4"/>
  <c r="G32" i="4"/>
  <c r="J6" i="4"/>
  <c r="G6" i="4"/>
  <c r="J9" i="4"/>
  <c r="G9" i="4"/>
  <c r="J35" i="4"/>
  <c r="G35" i="4"/>
  <c r="J38" i="4"/>
  <c r="G38" i="4"/>
  <c r="J41" i="4"/>
  <c r="G41" i="4"/>
  <c r="J44" i="4"/>
  <c r="G44" i="4"/>
  <c r="I47" i="4"/>
  <c r="G47" i="4"/>
  <c r="J50" i="4"/>
  <c r="G50" i="4"/>
  <c r="J53" i="4"/>
  <c r="G53" i="4"/>
  <c r="I56" i="4"/>
  <c r="G56" i="4"/>
  <c r="J59" i="4"/>
  <c r="G59" i="4"/>
  <c r="J62" i="4"/>
  <c r="G62" i="4"/>
  <c r="J65" i="4"/>
  <c r="G65" i="4"/>
  <c r="Q431" i="26"/>
  <c r="T431" i="26" s="1"/>
  <c r="U430" i="26"/>
  <c r="L432" i="26"/>
  <c r="O434" i="26"/>
  <c r="U429" i="26"/>
  <c r="O533" i="26"/>
  <c r="T742" i="4"/>
  <c r="T738" i="4"/>
  <c r="T750" i="4"/>
  <c r="T740" i="4"/>
  <c r="T744" i="4"/>
  <c r="T757" i="4"/>
  <c r="T759" i="4"/>
  <c r="T758" i="4"/>
  <c r="T756" i="4"/>
  <c r="T764" i="4"/>
  <c r="T755" i="4"/>
  <c r="I9" i="4"/>
  <c r="I15" i="4"/>
  <c r="J28" i="4"/>
  <c r="I53" i="4"/>
  <c r="J63" i="4"/>
  <c r="J39" i="4"/>
  <c r="J11" i="4"/>
  <c r="J47" i="4"/>
  <c r="J20" i="4"/>
  <c r="I44" i="4"/>
  <c r="I61" i="4"/>
  <c r="J17" i="4"/>
  <c r="I25" i="4"/>
  <c r="I7" i="4"/>
  <c r="J22" i="4"/>
  <c r="J30" i="4"/>
  <c r="I58" i="4"/>
  <c r="I19" i="4"/>
  <c r="I37" i="4"/>
  <c r="I45" i="4"/>
  <c r="I50" i="4"/>
  <c r="J12" i="4"/>
  <c r="I34" i="4"/>
  <c r="I42" i="4"/>
  <c r="J55" i="4"/>
  <c r="J8" i="4"/>
  <c r="J14" i="4"/>
  <c r="I21" i="4"/>
  <c r="I27" i="4"/>
  <c r="J40" i="4"/>
  <c r="I46" i="4"/>
  <c r="J56" i="4"/>
  <c r="J13" i="4"/>
  <c r="I36" i="4"/>
  <c r="I52" i="4"/>
  <c r="I62" i="4"/>
  <c r="I65" i="4"/>
  <c r="T1873" i="4"/>
  <c r="J10" i="4"/>
  <c r="I29" i="4"/>
  <c r="I38" i="4"/>
  <c r="J48" i="4"/>
  <c r="I54" i="4"/>
  <c r="I60" i="4"/>
  <c r="J5" i="4"/>
  <c r="U1875" i="4"/>
  <c r="T1875" i="4" s="1"/>
  <c r="I16" i="4"/>
  <c r="I24" i="4"/>
  <c r="I32" i="4"/>
  <c r="I33" i="4"/>
  <c r="I41" i="4"/>
  <c r="I49" i="4"/>
  <c r="I57" i="4"/>
  <c r="I23" i="4"/>
  <c r="I31" i="4"/>
  <c r="I64" i="4"/>
  <c r="J4" i="4"/>
  <c r="I6" i="4"/>
  <c r="I18" i="4"/>
  <c r="I26" i="4"/>
  <c r="I35" i="4"/>
  <c r="I43" i="4"/>
  <c r="I51" i="4"/>
  <c r="I59" i="4"/>
  <c r="I66" i="4"/>
  <c r="T1853" i="4"/>
  <c r="T1845" i="4"/>
  <c r="U1849" i="4"/>
  <c r="U1858" i="4" s="1"/>
  <c r="T1858" i="4" s="1"/>
  <c r="U1859" i="4"/>
  <c r="U1871" i="4" s="1"/>
  <c r="T1871" i="4" s="1"/>
  <c r="U1857" i="4"/>
  <c r="U1860" i="4"/>
  <c r="T1851" i="4"/>
  <c r="U1876" i="4"/>
  <c r="U1893" i="4" s="1"/>
  <c r="T1863" i="4"/>
  <c r="U1848" i="4"/>
  <c r="U1864" i="4"/>
  <c r="A1422" i="4"/>
  <c r="A1423" i="4"/>
  <c r="A1424" i="4"/>
  <c r="A1425" i="4"/>
  <c r="A1426" i="4"/>
  <c r="A1427" i="4"/>
  <c r="A1428" i="4"/>
  <c r="A1362" i="4"/>
  <c r="A1363" i="4"/>
  <c r="A1364" i="4"/>
  <c r="A1365" i="4"/>
  <c r="A1366" i="4"/>
  <c r="A1367" i="4"/>
  <c r="A1368" i="4"/>
  <c r="A1369" i="4"/>
  <c r="A1370" i="4"/>
  <c r="A1371" i="4"/>
  <c r="A1372" i="4"/>
  <c r="A1373" i="4"/>
  <c r="A1374" i="4"/>
  <c r="A1375" i="4"/>
  <c r="A1376" i="4"/>
  <c r="A1377" i="4"/>
  <c r="A1378" i="4"/>
  <c r="A1379" i="4"/>
  <c r="A1380" i="4"/>
  <c r="A1381" i="4"/>
  <c r="A1382" i="4"/>
  <c r="A1383" i="4"/>
  <c r="A1384" i="4"/>
  <c r="A1385" i="4"/>
  <c r="A1386" i="4"/>
  <c r="A1387" i="4"/>
  <c r="A1388" i="4"/>
  <c r="A1389" i="4"/>
  <c r="A1390" i="4"/>
  <c r="A1391" i="4"/>
  <c r="A1392" i="4"/>
  <c r="A1393" i="4"/>
  <c r="A1394" i="4"/>
  <c r="A1395" i="4"/>
  <c r="A1396" i="4"/>
  <c r="A1397" i="4"/>
  <c r="A1398" i="4"/>
  <c r="A1399" i="4"/>
  <c r="A1400" i="4"/>
  <c r="A1401" i="4"/>
  <c r="A1402" i="4"/>
  <c r="A1403" i="4"/>
  <c r="A1404" i="4"/>
  <c r="A1405" i="4"/>
  <c r="A1406" i="4"/>
  <c r="A1407" i="4"/>
  <c r="A1408" i="4"/>
  <c r="A1409" i="4"/>
  <c r="A1410" i="4"/>
  <c r="A1411" i="4"/>
  <c r="A1412" i="4"/>
  <c r="A1413" i="4"/>
  <c r="A1414" i="4"/>
  <c r="A1415" i="4"/>
  <c r="A1416" i="4"/>
  <c r="A1417" i="4"/>
  <c r="A1418" i="4"/>
  <c r="A1419" i="4"/>
  <c r="A1420" i="4"/>
  <c r="A1421" i="4"/>
  <c r="A1356" i="4"/>
  <c r="A1357" i="4"/>
  <c r="A1358" i="4"/>
  <c r="A1359" i="4"/>
  <c r="A1360" i="4"/>
  <c r="A1361" i="4"/>
  <c r="A1355" i="4"/>
  <c r="G735" i="4"/>
  <c r="G734" i="4"/>
  <c r="G733" i="4"/>
  <c r="G732" i="4"/>
  <c r="G731" i="4"/>
  <c r="G730" i="4"/>
  <c r="G729" i="4"/>
  <c r="G728" i="4"/>
  <c r="G727" i="4"/>
  <c r="G726" i="4"/>
  <c r="G725" i="4"/>
  <c r="G724" i="4"/>
  <c r="G723" i="4"/>
  <c r="G722" i="4"/>
  <c r="G721" i="4"/>
  <c r="G720" i="4"/>
  <c r="G719" i="4"/>
  <c r="G718" i="4"/>
  <c r="G717" i="4"/>
  <c r="G716" i="4"/>
  <c r="G715" i="4"/>
  <c r="G714" i="4"/>
  <c r="G713" i="4"/>
  <c r="G712" i="4"/>
  <c r="G711" i="4"/>
  <c r="G710" i="4"/>
  <c r="G709" i="4"/>
  <c r="G708" i="4"/>
  <c r="G707" i="4"/>
  <c r="G706" i="4"/>
  <c r="G705" i="4"/>
  <c r="G704" i="4"/>
  <c r="G703" i="4"/>
  <c r="G702" i="4"/>
  <c r="G701" i="4"/>
  <c r="G700" i="4"/>
  <c r="G699" i="4"/>
  <c r="G698" i="4"/>
  <c r="G697" i="4"/>
  <c r="G696" i="4"/>
  <c r="G695" i="4"/>
  <c r="G694" i="4"/>
  <c r="G693" i="4"/>
  <c r="G692" i="4"/>
  <c r="G691" i="4"/>
  <c r="G690" i="4"/>
  <c r="G689" i="4"/>
  <c r="G688" i="4"/>
  <c r="G687" i="4"/>
  <c r="G686" i="4"/>
  <c r="G685" i="4"/>
  <c r="G684" i="4"/>
  <c r="G683" i="4"/>
  <c r="G682" i="4"/>
  <c r="G681" i="4"/>
  <c r="G680" i="4"/>
  <c r="G679" i="4"/>
  <c r="G678" i="4"/>
  <c r="G677" i="4"/>
  <c r="G676" i="4"/>
  <c r="G675" i="4"/>
  <c r="G674" i="4"/>
  <c r="G673" i="4"/>
  <c r="G672" i="4"/>
  <c r="G671" i="4"/>
  <c r="G670" i="4"/>
  <c r="G669" i="4"/>
  <c r="G668" i="4"/>
  <c r="G667" i="4"/>
  <c r="G666" i="4"/>
  <c r="G665" i="4"/>
  <c r="G664" i="4"/>
  <c r="G663" i="4"/>
  <c r="G662" i="4"/>
  <c r="G661" i="4"/>
  <c r="G660" i="4"/>
  <c r="G659" i="4"/>
  <c r="G658" i="4"/>
  <c r="G657" i="4"/>
  <c r="G656" i="4"/>
  <c r="G655" i="4"/>
  <c r="G654" i="4"/>
  <c r="G653" i="4"/>
  <c r="G652" i="4"/>
  <c r="G651" i="4"/>
  <c r="G650" i="4"/>
  <c r="G649" i="4"/>
  <c r="G648" i="4"/>
  <c r="G647" i="4"/>
  <c r="G646" i="4"/>
  <c r="G645" i="4"/>
  <c r="G644" i="4"/>
  <c r="G643" i="4"/>
  <c r="G642" i="4"/>
  <c r="G641" i="4"/>
  <c r="G640" i="4"/>
  <c r="G639" i="4"/>
  <c r="G638" i="4"/>
  <c r="G637" i="4"/>
  <c r="G636" i="4"/>
  <c r="G635" i="4"/>
  <c r="G634" i="4"/>
  <c r="G633" i="4"/>
  <c r="G632" i="4"/>
  <c r="G631" i="4"/>
  <c r="G630" i="4"/>
  <c r="T1893" i="4" l="1"/>
  <c r="O435" i="26"/>
  <c r="M432" i="26"/>
  <c r="Q432" i="26" s="1"/>
  <c r="T432" i="26" s="1"/>
  <c r="N432" i="26"/>
  <c r="P431" i="26"/>
  <c r="S431" i="26" s="1"/>
  <c r="O534" i="26"/>
  <c r="U1869" i="4"/>
  <c r="T1859" i="4"/>
  <c r="T1849" i="4"/>
  <c r="U1872" i="4"/>
  <c r="U1889" i="4" s="1"/>
  <c r="T1889" i="4" s="1"/>
  <c r="T1860" i="4"/>
  <c r="U1868" i="4"/>
  <c r="T1857" i="4"/>
  <c r="T1876" i="4"/>
  <c r="T1864" i="4"/>
  <c r="U1877" i="4"/>
  <c r="U1894" i="4" s="1"/>
  <c r="T1894" i="4" s="1"/>
  <c r="U1855" i="4"/>
  <c r="T1848" i="4"/>
  <c r="T195" i="4"/>
  <c r="J195" i="4"/>
  <c r="I195" i="4"/>
  <c r="H195" i="4"/>
  <c r="V774" i="4"/>
  <c r="U1884" i="4" l="1"/>
  <c r="U1897" i="4" s="1"/>
  <c r="T1897" i="4" s="1"/>
  <c r="U1882" i="4"/>
  <c r="T1882" i="4" s="1"/>
  <c r="T1869" i="4"/>
  <c r="U1886" i="4"/>
  <c r="L433" i="26"/>
  <c r="P432" i="26"/>
  <c r="S432" i="26" s="1"/>
  <c r="R432" i="26" s="1"/>
  <c r="R431" i="26"/>
  <c r="U431" i="26" s="1"/>
  <c r="O436" i="26"/>
  <c r="O535" i="26"/>
  <c r="T1872" i="4"/>
  <c r="T1877" i="4"/>
  <c r="U1865" i="4"/>
  <c r="T1855" i="4"/>
  <c r="T1868" i="4"/>
  <c r="T1884" i="4" l="1"/>
  <c r="T1886" i="4"/>
  <c r="U1899" i="4"/>
  <c r="T1899" i="4" s="1"/>
  <c r="O437" i="26"/>
  <c r="N433" i="26"/>
  <c r="M433" i="26"/>
  <c r="Q433" i="26"/>
  <c r="T433" i="26" s="1"/>
  <c r="U432" i="26"/>
  <c r="O536" i="26"/>
  <c r="T1865" i="4"/>
  <c r="U1878" i="4"/>
  <c r="U1895" i="4" s="1"/>
  <c r="T1895" i="4" s="1"/>
  <c r="B492" i="26"/>
  <c r="K512" i="26"/>
  <c r="I512" i="26"/>
  <c r="G512" i="26" s="1"/>
  <c r="D512" i="26"/>
  <c r="C512" i="26"/>
  <c r="W512" i="26" s="1"/>
  <c r="K507" i="26"/>
  <c r="I507" i="26"/>
  <c r="G507" i="26" s="1"/>
  <c r="D507" i="26"/>
  <c r="C507" i="26"/>
  <c r="W507" i="26" s="1"/>
  <c r="B503" i="26"/>
  <c r="X494" i="26"/>
  <c r="T493" i="26"/>
  <c r="P493" i="26"/>
  <c r="Q493" i="26" s="1"/>
  <c r="K493" i="26"/>
  <c r="I493" i="26"/>
  <c r="D493" i="26"/>
  <c r="C493" i="26"/>
  <c r="V1080" i="4"/>
  <c r="V1078" i="4"/>
  <c r="V1070" i="4"/>
  <c r="V1074" i="4"/>
  <c r="V1079" i="4"/>
  <c r="V1084" i="4"/>
  <c r="V1088" i="4"/>
  <c r="V1092" i="4"/>
  <c r="V1096" i="4"/>
  <c r="V1100" i="4"/>
  <c r="V1104" i="4"/>
  <c r="V1066" i="4"/>
  <c r="V1069" i="4"/>
  <c r="V1073" i="4"/>
  <c r="V1077" i="4"/>
  <c r="V1083" i="4"/>
  <c r="V1087" i="4"/>
  <c r="V1091" i="4"/>
  <c r="V1095" i="4"/>
  <c r="V1099" i="4"/>
  <c r="V1103" i="4"/>
  <c r="B517" i="26"/>
  <c r="V1106" i="4"/>
  <c r="V1105" i="4"/>
  <c r="V1102" i="4"/>
  <c r="V1101" i="4"/>
  <c r="V1098" i="4"/>
  <c r="V1097" i="4"/>
  <c r="V1094" i="4"/>
  <c r="V1093" i="4"/>
  <c r="V1090" i="4"/>
  <c r="V1089" i="4"/>
  <c r="V1086" i="4"/>
  <c r="V1085" i="4"/>
  <c r="V1082" i="4"/>
  <c r="V1081" i="4"/>
  <c r="V1076" i="4"/>
  <c r="V1075" i="4"/>
  <c r="V1072" i="4"/>
  <c r="V1071" i="4"/>
  <c r="C1068" i="4"/>
  <c r="V1068" i="4" s="1"/>
  <c r="C1067" i="4"/>
  <c r="T1069" i="4"/>
  <c r="T1066" i="4"/>
  <c r="K586" i="26"/>
  <c r="I586" i="26"/>
  <c r="F586" i="26" s="1"/>
  <c r="D586" i="26"/>
  <c r="C586" i="26"/>
  <c r="W586" i="26" s="1"/>
  <c r="K581" i="26"/>
  <c r="I581" i="26"/>
  <c r="F581" i="26" s="1"/>
  <c r="D581" i="26"/>
  <c r="C581" i="26"/>
  <c r="W581" i="26" s="1"/>
  <c r="I529" i="26"/>
  <c r="I530" i="26" s="1"/>
  <c r="I531" i="26" s="1"/>
  <c r="I532" i="26" s="1"/>
  <c r="I533" i="26" s="1"/>
  <c r="I534" i="26" s="1"/>
  <c r="I535" i="26" s="1"/>
  <c r="I536" i="26" s="1"/>
  <c r="I537" i="26" s="1"/>
  <c r="I538" i="26" s="1"/>
  <c r="I539" i="26" s="1"/>
  <c r="I540" i="26" s="1"/>
  <c r="I541" i="26" s="1"/>
  <c r="I542" i="26" s="1"/>
  <c r="I543" i="26" s="1"/>
  <c r="I544" i="26" s="1"/>
  <c r="I545" i="26" s="1"/>
  <c r="I546" i="26" s="1"/>
  <c r="I547" i="26" s="1"/>
  <c r="I548" i="26" s="1"/>
  <c r="I549" i="26" s="1"/>
  <c r="I550" i="26" s="1"/>
  <c r="I551" i="26" s="1"/>
  <c r="I552" i="26" s="1"/>
  <c r="I553" i="26" s="1"/>
  <c r="I554" i="26" s="1"/>
  <c r="I555" i="26" s="1"/>
  <c r="I556" i="26" s="1"/>
  <c r="I557" i="26" s="1"/>
  <c r="I558" i="26" s="1"/>
  <c r="I559" i="26" s="1"/>
  <c r="I560" i="26" s="1"/>
  <c r="I561" i="26" s="1"/>
  <c r="I562" i="26" s="1"/>
  <c r="I563" i="26" s="1"/>
  <c r="I564" i="26" s="1"/>
  <c r="I565" i="26" s="1"/>
  <c r="I566" i="26" s="1"/>
  <c r="I567" i="26" s="1"/>
  <c r="I568" i="26" s="1"/>
  <c r="I569" i="26" s="1"/>
  <c r="I570" i="26" s="1"/>
  <c r="I571" i="26" s="1"/>
  <c r="I572" i="26" s="1"/>
  <c r="I573" i="26" s="1"/>
  <c r="I574" i="26" s="1"/>
  <c r="I575" i="26" s="1"/>
  <c r="I576" i="26" s="1"/>
  <c r="I577" i="26" s="1"/>
  <c r="I578" i="26" s="1"/>
  <c r="C529" i="26"/>
  <c r="K522" i="26"/>
  <c r="I522" i="26"/>
  <c r="D522" i="26"/>
  <c r="C522" i="26"/>
  <c r="L521" i="26"/>
  <c r="K521" i="26"/>
  <c r="J521" i="26"/>
  <c r="I521" i="26"/>
  <c r="H521" i="26"/>
  <c r="G521" i="26"/>
  <c r="F521" i="26"/>
  <c r="E521" i="26"/>
  <c r="D521" i="26"/>
  <c r="C521" i="26"/>
  <c r="X519" i="26"/>
  <c r="K518" i="26"/>
  <c r="I518" i="26"/>
  <c r="D518" i="26"/>
  <c r="C518" i="26"/>
  <c r="W518" i="26" s="1"/>
  <c r="G1614" i="4"/>
  <c r="P433" i="26" l="1"/>
  <c r="S433" i="26" s="1"/>
  <c r="R433" i="26" s="1"/>
  <c r="L434" i="26"/>
  <c r="O438" i="26"/>
  <c r="W493" i="26"/>
  <c r="O537" i="26"/>
  <c r="T1878" i="4"/>
  <c r="T1068" i="4"/>
  <c r="H512" i="26"/>
  <c r="H581" i="26"/>
  <c r="F507" i="26"/>
  <c r="H507" i="26"/>
  <c r="E512" i="26"/>
  <c r="E586" i="26"/>
  <c r="E581" i="26"/>
  <c r="G586" i="26"/>
  <c r="G581" i="26"/>
  <c r="H586" i="26"/>
  <c r="E507" i="26"/>
  <c r="F512" i="26"/>
  <c r="T1067" i="4"/>
  <c r="V1067" i="4"/>
  <c r="U586" i="26"/>
  <c r="O439" i="26" l="1"/>
  <c r="N434" i="26"/>
  <c r="M434" i="26"/>
  <c r="Q434" i="26"/>
  <c r="T434" i="26" s="1"/>
  <c r="U433" i="26"/>
  <c r="O538" i="26"/>
  <c r="X513" i="26"/>
  <c r="X508" i="26"/>
  <c r="X582" i="26"/>
  <c r="X587" i="26"/>
  <c r="B296" i="26"/>
  <c r="B222" i="26"/>
  <c r="K34" i="26"/>
  <c r="I34" i="26"/>
  <c r="F34" i="26" s="1"/>
  <c r="D34" i="26"/>
  <c r="C34" i="26"/>
  <c r="B33" i="26"/>
  <c r="P434" i="26" l="1"/>
  <c r="S434" i="26" s="1"/>
  <c r="R434" i="26" s="1"/>
  <c r="L435" i="26"/>
  <c r="O440" i="26"/>
  <c r="O539" i="26"/>
  <c r="H34" i="26"/>
  <c r="G34" i="26"/>
  <c r="E34" i="26"/>
  <c r="O441" i="26" l="1"/>
  <c r="M435" i="26"/>
  <c r="N435" i="26"/>
  <c r="Q435" i="26"/>
  <c r="T435" i="26" s="1"/>
  <c r="U434" i="26"/>
  <c r="O540" i="26"/>
  <c r="X35" i="26"/>
  <c r="B28" i="26"/>
  <c r="K29" i="26"/>
  <c r="I29" i="26"/>
  <c r="F29" i="26" s="1"/>
  <c r="D29" i="26"/>
  <c r="C29" i="26"/>
  <c r="B105" i="26"/>
  <c r="B16" i="26"/>
  <c r="K118" i="26"/>
  <c r="I118" i="26"/>
  <c r="H118" i="26" s="1"/>
  <c r="D118" i="26"/>
  <c r="C118" i="26"/>
  <c r="W118" i="26" s="1"/>
  <c r="K113" i="26"/>
  <c r="I113" i="26"/>
  <c r="H113" i="26" s="1"/>
  <c r="D113" i="26"/>
  <c r="C113" i="26"/>
  <c r="W113" i="26" s="1"/>
  <c r="N107" i="26"/>
  <c r="N108" i="26" s="1"/>
  <c r="K106" i="26"/>
  <c r="K107" i="26" s="1"/>
  <c r="K108" i="26" s="1"/>
  <c r="I106" i="26"/>
  <c r="I107" i="26" s="1"/>
  <c r="I108" i="26" s="1"/>
  <c r="D106" i="26"/>
  <c r="C106" i="26"/>
  <c r="O160" i="26"/>
  <c r="O161" i="26" s="1"/>
  <c r="K217" i="26"/>
  <c r="I217" i="26"/>
  <c r="H217" i="26" s="1"/>
  <c r="D217" i="26"/>
  <c r="C217" i="26"/>
  <c r="W217" i="26" s="1"/>
  <c r="K212" i="26"/>
  <c r="I212" i="26"/>
  <c r="F212" i="26" s="1"/>
  <c r="D212" i="26"/>
  <c r="C212" i="26"/>
  <c r="W212" i="26" s="1"/>
  <c r="X154" i="26"/>
  <c r="X153" i="26"/>
  <c r="K153" i="26" s="1"/>
  <c r="L152" i="26"/>
  <c r="K152" i="26"/>
  <c r="J152" i="26"/>
  <c r="I152" i="26"/>
  <c r="H152" i="26"/>
  <c r="G152" i="26"/>
  <c r="F152" i="26"/>
  <c r="E152" i="26"/>
  <c r="D152" i="26"/>
  <c r="C152" i="26"/>
  <c r="X150" i="26"/>
  <c r="P149" i="26"/>
  <c r="K149" i="26"/>
  <c r="I149" i="26"/>
  <c r="D149" i="26"/>
  <c r="C149" i="26"/>
  <c r="W149" i="26" s="1"/>
  <c r="B148" i="26"/>
  <c r="L436" i="26" l="1"/>
  <c r="P435" i="26"/>
  <c r="S435" i="26" s="1"/>
  <c r="R435" i="26" s="1"/>
  <c r="U435" i="26" s="1"/>
  <c r="O442" i="26"/>
  <c r="O541" i="26"/>
  <c r="W106" i="26"/>
  <c r="E29" i="26"/>
  <c r="G29" i="26"/>
  <c r="H29" i="26"/>
  <c r="G113" i="26"/>
  <c r="E118" i="26"/>
  <c r="E113" i="26"/>
  <c r="F118" i="26"/>
  <c r="F113" i="26"/>
  <c r="G118" i="26"/>
  <c r="I110" i="26"/>
  <c r="I109" i="26"/>
  <c r="N109" i="26"/>
  <c r="N110" i="26"/>
  <c r="K109" i="26"/>
  <c r="K110" i="26"/>
  <c r="O162" i="26"/>
  <c r="O163" i="26" s="1"/>
  <c r="I153" i="26"/>
  <c r="C153" i="26"/>
  <c r="W153" i="26" s="1"/>
  <c r="E217" i="26"/>
  <c r="G217" i="26"/>
  <c r="E212" i="26"/>
  <c r="G212" i="26"/>
  <c r="H212" i="26"/>
  <c r="Q149" i="26"/>
  <c r="D153" i="26"/>
  <c r="F217" i="26"/>
  <c r="G601" i="4"/>
  <c r="G602" i="4"/>
  <c r="G603" i="4"/>
  <c r="G604" i="4"/>
  <c r="G605" i="4"/>
  <c r="G606" i="4"/>
  <c r="G607" i="4"/>
  <c r="G608" i="4"/>
  <c r="G609" i="4"/>
  <c r="G610" i="4"/>
  <c r="G611" i="4"/>
  <c r="G612" i="4"/>
  <c r="G613" i="4"/>
  <c r="G614" i="4"/>
  <c r="G615" i="4"/>
  <c r="G616" i="4"/>
  <c r="G617" i="4"/>
  <c r="G618" i="4"/>
  <c r="G619" i="4"/>
  <c r="G620" i="4"/>
  <c r="G621" i="4"/>
  <c r="G622" i="4"/>
  <c r="G623" i="4"/>
  <c r="G624" i="4"/>
  <c r="G625" i="4"/>
  <c r="G626" i="4"/>
  <c r="G627" i="4"/>
  <c r="G628" i="4"/>
  <c r="G549" i="4"/>
  <c r="G524" i="4"/>
  <c r="G504" i="4"/>
  <c r="O443" i="26" l="1"/>
  <c r="M436" i="26"/>
  <c r="Q436" i="26" s="1"/>
  <c r="T436" i="26" s="1"/>
  <c r="N436" i="26"/>
  <c r="O542" i="26"/>
  <c r="U118" i="26"/>
  <c r="X114" i="26"/>
  <c r="X30" i="26"/>
  <c r="X119" i="26"/>
  <c r="X218" i="26"/>
  <c r="O164" i="26"/>
  <c r="X213" i="26"/>
  <c r="G1442" i="4"/>
  <c r="G1443" i="4"/>
  <c r="G1444" i="4"/>
  <c r="G1445" i="4"/>
  <c r="G1446" i="4"/>
  <c r="G1447" i="4"/>
  <c r="F1447" i="4"/>
  <c r="F1446" i="4"/>
  <c r="F1445" i="4"/>
  <c r="F1444" i="4"/>
  <c r="F1443" i="4"/>
  <c r="F1442" i="4"/>
  <c r="G1441" i="4"/>
  <c r="F1441" i="4"/>
  <c r="G1440" i="4"/>
  <c r="F1440" i="4"/>
  <c r="G1439" i="4"/>
  <c r="F1439" i="4"/>
  <c r="G1438" i="4"/>
  <c r="F1438" i="4"/>
  <c r="G1437" i="4"/>
  <c r="F1437" i="4"/>
  <c r="G1436" i="4"/>
  <c r="F1436" i="4"/>
  <c r="G1435" i="4"/>
  <c r="F1435" i="4"/>
  <c r="G1434" i="4"/>
  <c r="F1434" i="4"/>
  <c r="G1433" i="4"/>
  <c r="F1433" i="4"/>
  <c r="G1432" i="4"/>
  <c r="G1431" i="4"/>
  <c r="G1430" i="4"/>
  <c r="G1356" i="4"/>
  <c r="G1357" i="4"/>
  <c r="G1358" i="4"/>
  <c r="G1359" i="4"/>
  <c r="G1360" i="4"/>
  <c r="G1361" i="4"/>
  <c r="G1362" i="4"/>
  <c r="G1363" i="4"/>
  <c r="G1364" i="4"/>
  <c r="G1365" i="4"/>
  <c r="G1366" i="4"/>
  <c r="G1367" i="4"/>
  <c r="G1368" i="4"/>
  <c r="G1369" i="4"/>
  <c r="G1370" i="4"/>
  <c r="G1371" i="4"/>
  <c r="G1372" i="4"/>
  <c r="G1373" i="4"/>
  <c r="G1374" i="4"/>
  <c r="G1375" i="4"/>
  <c r="G1376" i="4"/>
  <c r="G1377" i="4"/>
  <c r="G1378" i="4"/>
  <c r="G1379" i="4"/>
  <c r="G1380" i="4"/>
  <c r="G1381" i="4"/>
  <c r="G1382" i="4"/>
  <c r="G1383" i="4"/>
  <c r="G1384" i="4"/>
  <c r="G1385" i="4"/>
  <c r="G1386" i="4"/>
  <c r="G1387" i="4"/>
  <c r="G1388" i="4"/>
  <c r="G1389" i="4"/>
  <c r="G1390" i="4"/>
  <c r="G1391" i="4"/>
  <c r="G1392" i="4"/>
  <c r="G1393" i="4"/>
  <c r="G1394" i="4"/>
  <c r="G1395" i="4"/>
  <c r="G1396" i="4"/>
  <c r="G1397" i="4"/>
  <c r="G1398" i="4"/>
  <c r="G1399" i="4"/>
  <c r="G1400" i="4"/>
  <c r="G1401" i="4"/>
  <c r="G1402" i="4"/>
  <c r="G1403" i="4"/>
  <c r="G1404" i="4"/>
  <c r="G1405" i="4"/>
  <c r="G1406" i="4"/>
  <c r="G1407" i="4"/>
  <c r="G1408" i="4"/>
  <c r="G1409" i="4"/>
  <c r="G1410" i="4"/>
  <c r="G1411" i="4"/>
  <c r="G1412" i="4"/>
  <c r="G1413" i="4"/>
  <c r="G1414" i="4"/>
  <c r="G1415" i="4"/>
  <c r="G1416" i="4"/>
  <c r="G1417" i="4"/>
  <c r="G1418" i="4"/>
  <c r="G1419" i="4"/>
  <c r="G1420" i="4"/>
  <c r="G1421" i="4"/>
  <c r="G1422" i="4"/>
  <c r="G1423" i="4"/>
  <c r="G1424" i="4"/>
  <c r="G1425" i="4"/>
  <c r="G1426" i="4"/>
  <c r="G1427" i="4"/>
  <c r="G1428" i="4"/>
  <c r="F1428" i="4"/>
  <c r="F1427" i="4"/>
  <c r="F1426" i="4"/>
  <c r="F1425" i="4"/>
  <c r="F1424" i="4"/>
  <c r="F1423" i="4"/>
  <c r="F1422" i="4"/>
  <c r="F1419" i="4"/>
  <c r="F1418" i="4"/>
  <c r="F1417" i="4"/>
  <c r="F1416" i="4"/>
  <c r="F1415" i="4"/>
  <c r="F1414" i="4"/>
  <c r="F1413" i="4"/>
  <c r="F1401" i="4"/>
  <c r="F1400" i="4"/>
  <c r="F1399" i="4"/>
  <c r="F1398" i="4"/>
  <c r="F1397" i="4"/>
  <c r="F1396" i="4"/>
  <c r="F1395" i="4"/>
  <c r="F1394" i="4"/>
  <c r="F1412" i="4"/>
  <c r="F1411" i="4"/>
  <c r="F1410" i="4"/>
  <c r="F1409" i="4"/>
  <c r="F1408" i="4"/>
  <c r="F1421" i="4"/>
  <c r="F1420" i="4"/>
  <c r="F1407" i="4"/>
  <c r="F1406" i="4"/>
  <c r="F1405" i="4"/>
  <c r="F1404" i="4"/>
  <c r="F1403" i="4"/>
  <c r="F1402" i="4"/>
  <c r="F1393" i="4"/>
  <c r="F1392" i="4"/>
  <c r="F1391" i="4"/>
  <c r="F1390" i="4"/>
  <c r="F1389" i="4"/>
  <c r="F1388" i="4"/>
  <c r="F1387" i="4"/>
  <c r="F1386" i="4"/>
  <c r="F1385" i="4"/>
  <c r="F1384" i="4"/>
  <c r="F1383" i="4"/>
  <c r="F1382" i="4"/>
  <c r="F1381" i="4"/>
  <c r="F1380" i="4"/>
  <c r="F1379" i="4"/>
  <c r="F1378" i="4"/>
  <c r="F1377" i="4"/>
  <c r="F1376" i="4"/>
  <c r="F1375" i="4"/>
  <c r="F1374" i="4"/>
  <c r="F1360" i="4"/>
  <c r="K1683" i="4"/>
  <c r="K1682" i="4"/>
  <c r="K1680" i="4"/>
  <c r="K1679" i="4"/>
  <c r="K1677" i="4"/>
  <c r="K1676" i="4"/>
  <c r="K1681" i="4"/>
  <c r="K1678" i="4"/>
  <c r="K1675" i="4"/>
  <c r="A1683" i="4"/>
  <c r="A1682" i="4"/>
  <c r="A1680" i="4"/>
  <c r="A1679" i="4"/>
  <c r="A1677" i="4"/>
  <c r="A1676" i="4"/>
  <c r="A1681" i="4"/>
  <c r="A1678" i="4"/>
  <c r="A1675" i="4"/>
  <c r="K1665" i="4"/>
  <c r="K1664" i="4"/>
  <c r="K1663" i="4"/>
  <c r="K1662" i="4"/>
  <c r="K1661" i="4"/>
  <c r="K1659" i="4"/>
  <c r="K1658" i="4"/>
  <c r="K1660" i="4"/>
  <c r="K1657" i="4"/>
  <c r="K1656" i="4"/>
  <c r="K1655" i="4"/>
  <c r="K1654" i="4"/>
  <c r="K1653" i="4"/>
  <c r="K1652" i="4"/>
  <c r="K1651" i="4"/>
  <c r="K1650" i="4"/>
  <c r="K1649" i="4"/>
  <c r="K1648" i="4"/>
  <c r="K1647" i="4"/>
  <c r="K1646" i="4"/>
  <c r="K1645" i="4"/>
  <c r="K1644" i="4"/>
  <c r="K1643" i="4"/>
  <c r="K1642" i="4"/>
  <c r="K1641" i="4"/>
  <c r="K1640" i="4"/>
  <c r="K1639" i="4"/>
  <c r="K1638" i="4"/>
  <c r="K1637" i="4"/>
  <c r="K1636" i="4"/>
  <c r="K1635" i="4"/>
  <c r="K1634" i="4"/>
  <c r="K1633" i="4"/>
  <c r="K1632" i="4"/>
  <c r="K1631" i="4"/>
  <c r="K1629" i="4"/>
  <c r="K1628" i="4"/>
  <c r="K1627" i="4"/>
  <c r="K1630" i="4"/>
  <c r="A1665" i="4"/>
  <c r="A1664" i="4"/>
  <c r="A1663" i="4"/>
  <c r="A1662" i="4"/>
  <c r="A1661" i="4"/>
  <c r="A1660" i="4"/>
  <c r="A1659" i="4"/>
  <c r="A1658" i="4"/>
  <c r="A1657" i="4"/>
  <c r="A1656" i="4"/>
  <c r="A1655" i="4"/>
  <c r="A1654" i="4"/>
  <c r="A1653" i="4"/>
  <c r="A1652" i="4"/>
  <c r="A1651" i="4"/>
  <c r="A1650" i="4"/>
  <c r="A1649" i="4"/>
  <c r="A1648" i="4"/>
  <c r="A1647" i="4"/>
  <c r="A1646" i="4"/>
  <c r="A1645" i="4"/>
  <c r="A1644" i="4"/>
  <c r="A1643" i="4"/>
  <c r="A1642" i="4"/>
  <c r="A1641" i="4"/>
  <c r="A1640" i="4"/>
  <c r="A1639" i="4"/>
  <c r="A1638" i="4"/>
  <c r="A1637" i="4"/>
  <c r="A1636" i="4"/>
  <c r="A1635" i="4"/>
  <c r="A1634" i="4"/>
  <c r="A1633" i="4"/>
  <c r="A1632" i="4"/>
  <c r="A1631" i="4"/>
  <c r="A1630" i="4"/>
  <c r="A1629" i="4"/>
  <c r="A1628" i="4"/>
  <c r="A1627" i="4"/>
  <c r="H1178" i="4"/>
  <c r="I1178" i="4"/>
  <c r="J1178" i="4"/>
  <c r="H1179" i="4"/>
  <c r="I1179" i="4"/>
  <c r="J1179" i="4"/>
  <c r="H1180" i="4"/>
  <c r="I1180" i="4"/>
  <c r="J1180" i="4"/>
  <c r="H1181" i="4"/>
  <c r="I1181" i="4"/>
  <c r="J1181" i="4"/>
  <c r="H1182" i="4"/>
  <c r="I1182" i="4"/>
  <c r="J1182" i="4"/>
  <c r="H1183" i="4"/>
  <c r="I1183" i="4"/>
  <c r="J1183" i="4"/>
  <c r="H1184" i="4"/>
  <c r="I1184" i="4"/>
  <c r="J1184" i="4"/>
  <c r="H1185" i="4"/>
  <c r="I1185" i="4"/>
  <c r="J1185" i="4"/>
  <c r="H1186" i="4"/>
  <c r="I1186" i="4"/>
  <c r="J1186" i="4"/>
  <c r="H1187" i="4"/>
  <c r="I1187" i="4"/>
  <c r="J1187" i="4"/>
  <c r="H1188" i="4"/>
  <c r="I1188" i="4"/>
  <c r="J1188" i="4"/>
  <c r="H1189" i="4"/>
  <c r="I1189" i="4"/>
  <c r="J1189" i="4"/>
  <c r="H1190" i="4"/>
  <c r="I1190" i="4"/>
  <c r="J1190" i="4"/>
  <c r="H1191" i="4"/>
  <c r="I1191" i="4"/>
  <c r="J1191" i="4"/>
  <c r="H1192" i="4"/>
  <c r="I1192" i="4"/>
  <c r="J1192" i="4"/>
  <c r="H1193" i="4"/>
  <c r="I1193" i="4"/>
  <c r="G1193" i="4" s="1"/>
  <c r="J1193" i="4"/>
  <c r="H1194" i="4"/>
  <c r="I1194" i="4"/>
  <c r="J1194" i="4"/>
  <c r="H1195" i="4"/>
  <c r="I1195" i="4"/>
  <c r="J1195" i="4"/>
  <c r="H1196" i="4"/>
  <c r="I1196" i="4"/>
  <c r="J1196" i="4"/>
  <c r="H1197" i="4"/>
  <c r="I1197" i="4"/>
  <c r="J1197" i="4"/>
  <c r="H1198" i="4"/>
  <c r="I1198" i="4"/>
  <c r="J1198" i="4"/>
  <c r="H1199" i="4"/>
  <c r="I1199" i="4"/>
  <c r="J1199" i="4"/>
  <c r="H1200" i="4"/>
  <c r="I1200" i="4"/>
  <c r="J1200" i="4"/>
  <c r="H1201" i="4"/>
  <c r="I1201" i="4"/>
  <c r="J1201" i="4"/>
  <c r="H1202" i="4"/>
  <c r="I1202" i="4"/>
  <c r="J1202" i="4"/>
  <c r="H1203" i="4"/>
  <c r="I1203" i="4"/>
  <c r="J1203" i="4"/>
  <c r="H1204" i="4"/>
  <c r="I1204" i="4"/>
  <c r="J1204" i="4"/>
  <c r="H1205" i="4"/>
  <c r="I1205" i="4"/>
  <c r="J1205" i="4"/>
  <c r="H1206" i="4"/>
  <c r="I1206" i="4"/>
  <c r="G1206" i="4" s="1"/>
  <c r="J1206" i="4"/>
  <c r="H1207" i="4"/>
  <c r="I1207" i="4"/>
  <c r="J1207" i="4"/>
  <c r="H1208" i="4"/>
  <c r="I1208" i="4"/>
  <c r="J1208" i="4"/>
  <c r="H1209" i="4"/>
  <c r="I1209" i="4"/>
  <c r="J1209" i="4"/>
  <c r="H1210" i="4"/>
  <c r="I1210" i="4"/>
  <c r="J1210" i="4"/>
  <c r="H1211" i="4"/>
  <c r="I1211" i="4"/>
  <c r="J1211" i="4"/>
  <c r="H1212" i="4"/>
  <c r="I1212" i="4"/>
  <c r="J1212" i="4"/>
  <c r="H1213" i="4"/>
  <c r="I1213" i="4"/>
  <c r="J1213" i="4"/>
  <c r="H1214" i="4"/>
  <c r="I1214" i="4"/>
  <c r="J1214" i="4"/>
  <c r="H1215" i="4"/>
  <c r="I1215" i="4"/>
  <c r="J1215" i="4"/>
  <c r="H1216" i="4"/>
  <c r="I1216" i="4"/>
  <c r="J1216" i="4"/>
  <c r="H1217" i="4"/>
  <c r="I1217" i="4"/>
  <c r="J1217" i="4"/>
  <c r="H1218" i="4"/>
  <c r="I1218" i="4"/>
  <c r="J1218" i="4"/>
  <c r="J1177" i="4"/>
  <c r="I1177" i="4"/>
  <c r="H1177" i="4"/>
  <c r="H1120" i="4"/>
  <c r="I1120" i="4"/>
  <c r="J1120" i="4"/>
  <c r="H1121" i="4"/>
  <c r="I1121" i="4"/>
  <c r="J1121" i="4"/>
  <c r="H1122" i="4"/>
  <c r="I1122" i="4"/>
  <c r="J1122" i="4"/>
  <c r="H1123" i="4"/>
  <c r="I1123" i="4"/>
  <c r="J1123" i="4"/>
  <c r="H1124" i="4"/>
  <c r="I1124" i="4"/>
  <c r="J1124" i="4"/>
  <c r="H1125" i="4"/>
  <c r="I1125" i="4"/>
  <c r="J1125" i="4"/>
  <c r="H1126" i="4"/>
  <c r="I1126" i="4"/>
  <c r="J1126" i="4"/>
  <c r="H1127" i="4"/>
  <c r="I1127" i="4"/>
  <c r="J1127" i="4"/>
  <c r="H1128" i="4"/>
  <c r="I1128" i="4"/>
  <c r="J1128" i="4"/>
  <c r="H1129" i="4"/>
  <c r="I1129" i="4"/>
  <c r="J1129" i="4"/>
  <c r="H1130" i="4"/>
  <c r="I1130" i="4"/>
  <c r="J1130" i="4"/>
  <c r="H1131" i="4"/>
  <c r="I1131" i="4"/>
  <c r="J1131" i="4"/>
  <c r="H1132" i="4"/>
  <c r="I1132" i="4"/>
  <c r="J1132" i="4"/>
  <c r="H1133" i="4"/>
  <c r="I1133" i="4"/>
  <c r="J1133" i="4"/>
  <c r="H1134" i="4"/>
  <c r="I1134" i="4"/>
  <c r="J1134" i="4"/>
  <c r="H1135" i="4"/>
  <c r="I1135" i="4"/>
  <c r="J1135" i="4"/>
  <c r="H1136" i="4"/>
  <c r="I1136" i="4"/>
  <c r="J1136" i="4"/>
  <c r="H1137" i="4"/>
  <c r="I1137" i="4"/>
  <c r="J1137" i="4"/>
  <c r="H1138" i="4"/>
  <c r="I1138" i="4"/>
  <c r="J1138" i="4"/>
  <c r="H1139" i="4"/>
  <c r="I1139" i="4"/>
  <c r="J1139" i="4"/>
  <c r="H1140" i="4"/>
  <c r="I1140" i="4"/>
  <c r="J1140" i="4"/>
  <c r="H1141" i="4"/>
  <c r="I1141" i="4"/>
  <c r="G1141" i="4" s="1"/>
  <c r="J1141" i="4"/>
  <c r="H1142" i="4"/>
  <c r="I1142" i="4"/>
  <c r="J1142" i="4"/>
  <c r="H1143" i="4"/>
  <c r="I1143" i="4"/>
  <c r="J1143" i="4"/>
  <c r="H1144" i="4"/>
  <c r="I1144" i="4"/>
  <c r="J1144" i="4"/>
  <c r="H1145" i="4"/>
  <c r="I1145" i="4"/>
  <c r="J1145" i="4"/>
  <c r="H1146" i="4"/>
  <c r="I1146" i="4"/>
  <c r="J1146" i="4"/>
  <c r="H1147" i="4"/>
  <c r="I1147" i="4"/>
  <c r="J1147" i="4"/>
  <c r="H1148" i="4"/>
  <c r="I1148" i="4"/>
  <c r="J1148" i="4"/>
  <c r="H1149" i="4"/>
  <c r="I1149" i="4"/>
  <c r="J1149" i="4"/>
  <c r="H1150" i="4"/>
  <c r="I1150" i="4"/>
  <c r="J1150" i="4"/>
  <c r="H1151" i="4"/>
  <c r="I1151" i="4"/>
  <c r="J1151" i="4"/>
  <c r="H1152" i="4"/>
  <c r="I1152" i="4"/>
  <c r="J1152" i="4"/>
  <c r="H1153" i="4"/>
  <c r="I1153" i="4"/>
  <c r="J1153" i="4"/>
  <c r="H1154" i="4"/>
  <c r="I1154" i="4"/>
  <c r="J1154" i="4"/>
  <c r="H1155" i="4"/>
  <c r="I1155" i="4"/>
  <c r="J1155" i="4"/>
  <c r="H1156" i="4"/>
  <c r="I1156" i="4"/>
  <c r="J1156" i="4"/>
  <c r="H1157" i="4"/>
  <c r="I1157" i="4"/>
  <c r="J1157" i="4"/>
  <c r="H1158" i="4"/>
  <c r="I1158" i="4"/>
  <c r="J1158" i="4"/>
  <c r="H1159" i="4"/>
  <c r="I1159" i="4"/>
  <c r="J1159" i="4"/>
  <c r="H1160" i="4"/>
  <c r="I1160" i="4"/>
  <c r="J1160" i="4"/>
  <c r="H1161" i="4"/>
  <c r="I1161" i="4"/>
  <c r="J1161" i="4"/>
  <c r="H1162" i="4"/>
  <c r="I1162" i="4"/>
  <c r="J1162" i="4"/>
  <c r="H1163" i="4"/>
  <c r="I1163" i="4"/>
  <c r="J1163" i="4"/>
  <c r="H1164" i="4"/>
  <c r="I1164" i="4"/>
  <c r="G1164" i="4" s="1"/>
  <c r="J1164" i="4"/>
  <c r="H1165" i="4"/>
  <c r="I1165" i="4"/>
  <c r="J1165" i="4"/>
  <c r="H1166" i="4"/>
  <c r="I1166" i="4"/>
  <c r="J1166" i="4"/>
  <c r="H1167" i="4"/>
  <c r="I1167" i="4"/>
  <c r="J1167" i="4"/>
  <c r="H1168" i="4"/>
  <c r="I1168" i="4"/>
  <c r="J1168" i="4"/>
  <c r="H1169" i="4"/>
  <c r="I1169" i="4"/>
  <c r="J1169" i="4"/>
  <c r="H1170" i="4"/>
  <c r="I1170" i="4"/>
  <c r="J1170" i="4"/>
  <c r="H1171" i="4"/>
  <c r="I1171" i="4"/>
  <c r="J1171" i="4"/>
  <c r="H1172" i="4"/>
  <c r="I1172" i="4"/>
  <c r="J1172" i="4"/>
  <c r="H1173" i="4"/>
  <c r="I1173" i="4"/>
  <c r="J1173" i="4"/>
  <c r="H1174" i="4"/>
  <c r="I1174" i="4"/>
  <c r="J1174" i="4"/>
  <c r="J1119" i="4"/>
  <c r="I1119" i="4"/>
  <c r="H1119" i="4"/>
  <c r="J1118" i="4"/>
  <c r="I1118" i="4"/>
  <c r="H1118" i="4"/>
  <c r="J1117" i="4"/>
  <c r="I1117" i="4"/>
  <c r="H1117" i="4"/>
  <c r="J1116" i="4"/>
  <c r="I1116" i="4"/>
  <c r="H1116" i="4"/>
  <c r="J1115" i="4"/>
  <c r="I1115" i="4"/>
  <c r="H1115" i="4"/>
  <c r="J1114" i="4"/>
  <c r="I1114" i="4"/>
  <c r="H1114" i="4"/>
  <c r="J1113" i="4"/>
  <c r="I1113" i="4"/>
  <c r="H1113" i="4"/>
  <c r="J1112" i="4"/>
  <c r="I1112" i="4"/>
  <c r="H1112" i="4"/>
  <c r="J1111" i="4"/>
  <c r="I1111" i="4"/>
  <c r="H1111" i="4"/>
  <c r="J1110" i="4"/>
  <c r="I1110" i="4"/>
  <c r="H1110" i="4"/>
  <c r="U1109" i="4"/>
  <c r="J1109" i="4"/>
  <c r="I1109" i="4"/>
  <c r="H1109" i="4"/>
  <c r="L437" i="26" l="1"/>
  <c r="P436" i="26"/>
  <c r="S436" i="26" s="1"/>
  <c r="O444" i="26"/>
  <c r="O445" i="26" s="1"/>
  <c r="O446" i="26" s="1"/>
  <c r="O447" i="26" s="1"/>
  <c r="O448" i="26" s="1"/>
  <c r="O449" i="26" s="1"/>
  <c r="O450" i="26" s="1"/>
  <c r="O451" i="26" s="1"/>
  <c r="O452" i="26" s="1"/>
  <c r="O453" i="26" s="1"/>
  <c r="O454" i="26" s="1"/>
  <c r="O455" i="26" s="1"/>
  <c r="O456" i="26" s="1"/>
  <c r="O457" i="26" s="1"/>
  <c r="O458" i="26" s="1"/>
  <c r="O459" i="26" s="1"/>
  <c r="O460" i="26" s="1"/>
  <c r="O461" i="26" s="1"/>
  <c r="O462" i="26" s="1"/>
  <c r="O463" i="26" s="1"/>
  <c r="O464" i="26" s="1"/>
  <c r="O465" i="26" s="1"/>
  <c r="O466" i="26" s="1"/>
  <c r="O467" i="26" s="1"/>
  <c r="O468" i="26" s="1"/>
  <c r="O469" i="26" s="1"/>
  <c r="O470" i="26" s="1"/>
  <c r="O471" i="26" s="1"/>
  <c r="O472" i="26" s="1"/>
  <c r="O473" i="26" s="1"/>
  <c r="O474" i="26" s="1"/>
  <c r="O475" i="26" s="1"/>
  <c r="O476" i="26" s="1"/>
  <c r="O477" i="26" s="1"/>
  <c r="O478" i="26" s="1"/>
  <c r="O543" i="26"/>
  <c r="O165" i="26"/>
  <c r="G552" i="4"/>
  <c r="G554" i="4"/>
  <c r="G555" i="4"/>
  <c r="G556" i="4"/>
  <c r="G558" i="4"/>
  <c r="G557" i="4"/>
  <c r="G559" i="4"/>
  <c r="G560" i="4"/>
  <c r="G562" i="4"/>
  <c r="G589" i="4"/>
  <c r="G596" i="4"/>
  <c r="G591" i="4"/>
  <c r="G579" i="4"/>
  <c r="G580" i="4"/>
  <c r="G581" i="4"/>
  <c r="G594" i="4"/>
  <c r="G595" i="4"/>
  <c r="G593" i="4"/>
  <c r="G587" i="4"/>
  <c r="G564" i="4"/>
  <c r="G563" i="4"/>
  <c r="G588" i="4"/>
  <c r="G561" i="4"/>
  <c r="G590" i="4"/>
  <c r="G584" i="4"/>
  <c r="G585" i="4"/>
  <c r="G566" i="4"/>
  <c r="G599" i="4"/>
  <c r="G578" i="4"/>
  <c r="G592" i="4"/>
  <c r="G597" i="4"/>
  <c r="G569" i="4"/>
  <c r="G565" i="4"/>
  <c r="G583" i="4"/>
  <c r="G586" i="4"/>
  <c r="G570" i="4"/>
  <c r="G571" i="4"/>
  <c r="G582" i="4"/>
  <c r="G598" i="4"/>
  <c r="G567" i="4"/>
  <c r="G576" i="4"/>
  <c r="G572" i="4"/>
  <c r="G600" i="4"/>
  <c r="G568" i="4"/>
  <c r="G577" i="4"/>
  <c r="G573" i="4"/>
  <c r="G574" i="4"/>
  <c r="G575" i="4"/>
  <c r="G553" i="4"/>
  <c r="G471" i="4"/>
  <c r="G472" i="4"/>
  <c r="G473" i="4"/>
  <c r="G483" i="4"/>
  <c r="G479" i="4"/>
  <c r="G478" i="4"/>
  <c r="G503" i="4"/>
  <c r="G499" i="4"/>
  <c r="G500" i="4"/>
  <c r="G485" i="4"/>
  <c r="G488" i="4"/>
  <c r="G481" i="4"/>
  <c r="G480" i="4"/>
  <c r="G487" i="4"/>
  <c r="G489" i="4"/>
  <c r="G501" i="4"/>
  <c r="G486" i="4"/>
  <c r="G484" i="4"/>
  <c r="G475" i="4"/>
  <c r="G482" i="4"/>
  <c r="G476" i="4"/>
  <c r="G491" i="4"/>
  <c r="G492" i="4"/>
  <c r="G493" i="4"/>
  <c r="G497" i="4"/>
  <c r="G494" i="4"/>
  <c r="G474" i="4"/>
  <c r="G498" i="4"/>
  <c r="G495" i="4"/>
  <c r="G496" i="4"/>
  <c r="G490" i="4"/>
  <c r="G502" i="4"/>
  <c r="G505" i="4"/>
  <c r="G477" i="4"/>
  <c r="G507" i="4"/>
  <c r="G508" i="4"/>
  <c r="G509" i="4"/>
  <c r="G510" i="4"/>
  <c r="G512" i="4"/>
  <c r="G515" i="4"/>
  <c r="G520" i="4"/>
  <c r="G513" i="4"/>
  <c r="G511" i="4"/>
  <c r="G519" i="4"/>
  <c r="G514" i="4"/>
  <c r="G516" i="4"/>
  <c r="G506" i="4"/>
  <c r="G521" i="4"/>
  <c r="G517" i="4"/>
  <c r="G518" i="4"/>
  <c r="G522" i="4"/>
  <c r="G525" i="4"/>
  <c r="G531" i="4"/>
  <c r="G530" i="4"/>
  <c r="G532" i="4"/>
  <c r="G523" i="4"/>
  <c r="G526" i="4"/>
  <c r="G527" i="4"/>
  <c r="G529" i="4"/>
  <c r="G528" i="4"/>
  <c r="G533" i="4"/>
  <c r="G534" i="4"/>
  <c r="G535" i="4"/>
  <c r="G537" i="4"/>
  <c r="G538" i="4"/>
  <c r="G539" i="4"/>
  <c r="G536" i="4"/>
  <c r="G541" i="4"/>
  <c r="G540" i="4"/>
  <c r="G543" i="4"/>
  <c r="G542" i="4"/>
  <c r="G544" i="4"/>
  <c r="G545" i="4"/>
  <c r="G550" i="4"/>
  <c r="G547" i="4"/>
  <c r="G546" i="4"/>
  <c r="G548" i="4"/>
  <c r="G470" i="4"/>
  <c r="G270" i="4"/>
  <c r="G269" i="4"/>
  <c r="G268" i="4"/>
  <c r="G272" i="4"/>
  <c r="G264" i="4"/>
  <c r="G273" i="4"/>
  <c r="G271" i="4"/>
  <c r="G267" i="4"/>
  <c r="G266" i="4"/>
  <c r="G265" i="4"/>
  <c r="G282" i="4"/>
  <c r="G280" i="4"/>
  <c r="G281" i="4"/>
  <c r="G278" i="4"/>
  <c r="G283" i="4"/>
  <c r="G279" i="4"/>
  <c r="G275" i="4"/>
  <c r="G277" i="4"/>
  <c r="G274" i="4"/>
  <c r="G276" i="4"/>
  <c r="G287" i="4"/>
  <c r="G284" i="4"/>
  <c r="G285" i="4"/>
  <c r="G286" i="4"/>
  <c r="G288" i="4"/>
  <c r="G314" i="4"/>
  <c r="G296" i="4"/>
  <c r="G299" i="4"/>
  <c r="G305" i="4"/>
  <c r="G310" i="4"/>
  <c r="G311" i="4"/>
  <c r="G312" i="4"/>
  <c r="G316" i="4"/>
  <c r="G331" i="4"/>
  <c r="G333" i="4"/>
  <c r="G290" i="4"/>
  <c r="G291" i="4"/>
  <c r="G295" i="4"/>
  <c r="G303" i="4"/>
  <c r="G330" i="4"/>
  <c r="G322" i="4"/>
  <c r="G332" i="4"/>
  <c r="G292" i="4"/>
  <c r="G302" i="4"/>
  <c r="G313" i="4"/>
  <c r="G297" i="4"/>
  <c r="G329" i="4"/>
  <c r="G293" i="4"/>
  <c r="G327" i="4"/>
  <c r="G328" i="4"/>
  <c r="G315" i="4"/>
  <c r="G289" i="4"/>
  <c r="G318" i="4"/>
  <c r="G319" i="4"/>
  <c r="G308" i="4"/>
  <c r="G326" i="4"/>
  <c r="G294" i="4"/>
  <c r="G309" i="4"/>
  <c r="G320" i="4"/>
  <c r="G325" i="4"/>
  <c r="G317" i="4"/>
  <c r="G304" i="4"/>
  <c r="G334" i="4"/>
  <c r="G323" i="4"/>
  <c r="G321" i="4"/>
  <c r="G324" i="4"/>
  <c r="G306" i="4"/>
  <c r="G307" i="4"/>
  <c r="G300" i="4"/>
  <c r="G298" i="4"/>
  <c r="G301" i="4"/>
  <c r="G352" i="4"/>
  <c r="G341" i="4"/>
  <c r="G346" i="4"/>
  <c r="G348" i="4"/>
  <c r="G354" i="4"/>
  <c r="G361" i="4"/>
  <c r="G362" i="4"/>
  <c r="G364" i="4"/>
  <c r="G366" i="4"/>
  <c r="G373" i="4"/>
  <c r="G353" i="4"/>
  <c r="G356" i="4"/>
  <c r="G365" i="4"/>
  <c r="G335" i="4"/>
  <c r="G342" i="4"/>
  <c r="G351" i="4"/>
  <c r="G363" i="4"/>
  <c r="G349" i="4"/>
  <c r="G350" i="4"/>
  <c r="G370" i="4"/>
  <c r="G375" i="4"/>
  <c r="G360" i="4"/>
  <c r="G340" i="4"/>
  <c r="G343" i="4"/>
  <c r="G338" i="4"/>
  <c r="G380" i="4"/>
  <c r="G379" i="4"/>
  <c r="G377" i="4"/>
  <c r="G368" i="4"/>
  <c r="G357" i="4"/>
  <c r="G336" i="4"/>
  <c r="G344" i="4"/>
  <c r="G347" i="4"/>
  <c r="G355" i="4"/>
  <c r="G359" i="4"/>
  <c r="G378" i="4"/>
  <c r="G337" i="4"/>
  <c r="G371" i="4"/>
  <c r="G372" i="4"/>
  <c r="G369" i="4"/>
  <c r="G339" i="4"/>
  <c r="G345" i="4"/>
  <c r="G358" i="4"/>
  <c r="G367" i="4"/>
  <c r="G376" i="4"/>
  <c r="G374" i="4"/>
  <c r="G381" i="4"/>
  <c r="G390" i="4"/>
  <c r="G391" i="4"/>
  <c r="G392" i="4"/>
  <c r="G395" i="4"/>
  <c r="G396" i="4"/>
  <c r="G382" i="4"/>
  <c r="G385" i="4"/>
  <c r="G399" i="4"/>
  <c r="G387" i="4"/>
  <c r="G389" i="4"/>
  <c r="G386" i="4"/>
  <c r="G393" i="4"/>
  <c r="G397" i="4"/>
  <c r="G400" i="4"/>
  <c r="G411" i="4"/>
  <c r="G403" i="4"/>
  <c r="G383" i="4"/>
  <c r="G394" i="4"/>
  <c r="G401" i="4"/>
  <c r="G408" i="4"/>
  <c r="G409" i="4"/>
  <c r="G406" i="4"/>
  <c r="G402" i="4"/>
  <c r="G415" i="4"/>
  <c r="G405" i="4"/>
  <c r="G413" i="4"/>
  <c r="G414" i="4"/>
  <c r="G416" i="4"/>
  <c r="G407" i="4"/>
  <c r="G384" i="4"/>
  <c r="G412" i="4"/>
  <c r="G404" i="4"/>
  <c r="G410" i="4"/>
  <c r="G388" i="4"/>
  <c r="G398" i="4"/>
  <c r="G420" i="4"/>
  <c r="G417" i="4"/>
  <c r="G418" i="4"/>
  <c r="G421" i="4"/>
  <c r="G422" i="4"/>
  <c r="G429" i="4"/>
  <c r="G432" i="4"/>
  <c r="G433" i="4"/>
  <c r="G434" i="4"/>
  <c r="G431" i="4"/>
  <c r="G435" i="4"/>
  <c r="G445" i="4"/>
  <c r="G452" i="4"/>
  <c r="G419" i="4"/>
  <c r="G430" i="4"/>
  <c r="G437" i="4"/>
  <c r="G440" i="4"/>
  <c r="G441" i="4"/>
  <c r="G451" i="4"/>
  <c r="G423" i="4"/>
  <c r="G446" i="4"/>
  <c r="G449" i="4"/>
  <c r="G450" i="4"/>
  <c r="G424" i="4"/>
  <c r="G426" i="4"/>
  <c r="G439" i="4"/>
  <c r="G447" i="4"/>
  <c r="G427" i="4"/>
  <c r="G448" i="4"/>
  <c r="G454" i="4"/>
  <c r="G443" i="4"/>
  <c r="G442" i="4"/>
  <c r="G428" i="4"/>
  <c r="G436" i="4"/>
  <c r="G444" i="4"/>
  <c r="G453" i="4"/>
  <c r="G438" i="4"/>
  <c r="G425" i="4"/>
  <c r="G457" i="4"/>
  <c r="G462" i="4"/>
  <c r="G456" i="4"/>
  <c r="G460" i="4"/>
  <c r="G458" i="4"/>
  <c r="G463" i="4"/>
  <c r="G455" i="4"/>
  <c r="G467" i="4"/>
  <c r="G466" i="4"/>
  <c r="G465" i="4"/>
  <c r="G464" i="4"/>
  <c r="G468" i="4"/>
  <c r="G461" i="4"/>
  <c r="G459" i="4"/>
  <c r="A1739" i="4"/>
  <c r="G1745" i="4"/>
  <c r="G1744" i="4"/>
  <c r="G1743" i="4"/>
  <c r="G1742" i="4"/>
  <c r="G1741" i="4"/>
  <c r="G1740" i="4"/>
  <c r="G1739" i="4"/>
  <c r="A1740" i="4"/>
  <c r="A1741" i="4"/>
  <c r="A1742" i="4"/>
  <c r="A1743" i="4"/>
  <c r="A1744" i="4"/>
  <c r="A1745" i="4"/>
  <c r="G1737" i="4"/>
  <c r="A1737" i="4"/>
  <c r="G1736" i="4"/>
  <c r="A1736" i="4"/>
  <c r="G1735" i="4"/>
  <c r="A1735" i="4"/>
  <c r="G1734" i="4"/>
  <c r="A1734" i="4"/>
  <c r="G1733" i="4"/>
  <c r="A1733" i="4"/>
  <c r="G1732" i="4"/>
  <c r="A1732" i="4"/>
  <c r="G1731" i="4"/>
  <c r="A1731" i="4"/>
  <c r="G1730" i="4"/>
  <c r="A1730" i="4"/>
  <c r="G1729" i="4"/>
  <c r="A1729" i="4"/>
  <c r="A1727" i="4"/>
  <c r="A1726" i="4"/>
  <c r="A1725" i="4"/>
  <c r="A1724" i="4"/>
  <c r="A1723" i="4"/>
  <c r="A1722" i="4"/>
  <c r="A1721" i="4"/>
  <c r="A1720" i="4"/>
  <c r="A1719" i="4"/>
  <c r="A1717" i="4"/>
  <c r="G1715" i="4"/>
  <c r="G1714" i="4"/>
  <c r="G1713" i="4"/>
  <c r="G1712" i="4"/>
  <c r="G1711" i="4"/>
  <c r="A1715" i="4"/>
  <c r="A1714" i="4"/>
  <c r="A1713" i="4"/>
  <c r="A1712" i="4"/>
  <c r="A1711" i="4"/>
  <c r="G1709" i="4"/>
  <c r="A1709" i="4"/>
  <c r="G1707" i="4"/>
  <c r="A1707" i="4"/>
  <c r="G1706" i="4"/>
  <c r="A1706" i="4"/>
  <c r="G1705" i="4"/>
  <c r="A1705" i="4"/>
  <c r="G1704" i="4"/>
  <c r="A1704" i="4"/>
  <c r="G1703" i="4"/>
  <c r="A1703" i="4"/>
  <c r="G1702" i="4"/>
  <c r="G1701" i="4"/>
  <c r="G1700" i="4"/>
  <c r="A1702" i="4"/>
  <c r="A1701" i="4"/>
  <c r="A1700" i="4"/>
  <c r="A1698" i="4"/>
  <c r="G1698" i="4"/>
  <c r="G1696" i="4"/>
  <c r="A1696" i="4"/>
  <c r="G1695" i="4"/>
  <c r="A1695" i="4"/>
  <c r="G1694" i="4"/>
  <c r="A1694" i="4"/>
  <c r="G1693" i="4"/>
  <c r="A1693" i="4"/>
  <c r="G1692" i="4"/>
  <c r="A1692" i="4"/>
  <c r="G1691" i="4"/>
  <c r="A1691" i="4"/>
  <c r="G1690" i="4"/>
  <c r="A1690" i="4"/>
  <c r="G1689" i="4"/>
  <c r="A1689" i="4"/>
  <c r="G1688" i="4"/>
  <c r="A1688" i="4"/>
  <c r="G1687" i="4"/>
  <c r="G1686" i="4"/>
  <c r="A1687" i="4"/>
  <c r="A1686" i="4"/>
  <c r="N437" i="26" l="1"/>
  <c r="M437" i="26"/>
  <c r="Q437" i="26" s="1"/>
  <c r="T437" i="26" s="1"/>
  <c r="R436" i="26"/>
  <c r="U436" i="26" s="1"/>
  <c r="O544" i="26"/>
  <c r="O166" i="26"/>
  <c r="A1667" i="4"/>
  <c r="A1666" i="4"/>
  <c r="G1667" i="4"/>
  <c r="G1666" i="4"/>
  <c r="J497" i="26" l="1"/>
  <c r="E493" i="26"/>
  <c r="F493" i="26"/>
  <c r="G493" i="26"/>
  <c r="H493" i="26"/>
  <c r="E155" i="26"/>
  <c r="E518" i="26"/>
  <c r="G518" i="26"/>
  <c r="E156" i="26"/>
  <c r="F518" i="26"/>
  <c r="H518" i="26"/>
  <c r="F415" i="26"/>
  <c r="F423" i="26"/>
  <c r="E92" i="26"/>
  <c r="F92" i="26"/>
  <c r="H423" i="26"/>
  <c r="J423" i="26"/>
  <c r="G92" i="26"/>
  <c r="J482" i="26"/>
  <c r="E419" i="26"/>
  <c r="J487" i="26"/>
  <c r="F419" i="26"/>
  <c r="H415" i="26"/>
  <c r="G423" i="26"/>
  <c r="H92" i="26"/>
  <c r="J419" i="26"/>
  <c r="G419" i="26"/>
  <c r="G415" i="26"/>
  <c r="E415" i="26"/>
  <c r="E423" i="26"/>
  <c r="H419" i="26"/>
  <c r="J415" i="26"/>
  <c r="L438" i="26"/>
  <c r="P437" i="26"/>
  <c r="S437" i="26" s="1"/>
  <c r="R437" i="26" s="1"/>
  <c r="U437" i="26" s="1"/>
  <c r="L444" i="26"/>
  <c r="O545" i="26"/>
  <c r="O167" i="26"/>
  <c r="G1638" i="4"/>
  <c r="G1644" i="4"/>
  <c r="G1664" i="4"/>
  <c r="G1663" i="4"/>
  <c r="G1660" i="4"/>
  <c r="G1656" i="4"/>
  <c r="G1649" i="4"/>
  <c r="G1683" i="4"/>
  <c r="G1654" i="4"/>
  <c r="G1637" i="4"/>
  <c r="G1643" i="4"/>
  <c r="G1648" i="4"/>
  <c r="G1647" i="4"/>
  <c r="G1653" i="4"/>
  <c r="G1665" i="4"/>
  <c r="G1682" i="4"/>
  <c r="G1681" i="4"/>
  <c r="G1645" i="4"/>
  <c r="G1659" i="4"/>
  <c r="G1651" i="4"/>
  <c r="G1658" i="4"/>
  <c r="G1676" i="4"/>
  <c r="G1677" i="4"/>
  <c r="G1679" i="4"/>
  <c r="G1680" i="4"/>
  <c r="G1650" i="4"/>
  <c r="G1657" i="4"/>
  <c r="G1655" i="4"/>
  <c r="G1661" i="4"/>
  <c r="G1662" i="4"/>
  <c r="G1652" i="4"/>
  <c r="G1646" i="4"/>
  <c r="G1678" i="4"/>
  <c r="G1675" i="4"/>
  <c r="G1640" i="4"/>
  <c r="G1642" i="4"/>
  <c r="G1629" i="4"/>
  <c r="G1641" i="4"/>
  <c r="G1628" i="4"/>
  <c r="G1632" i="4"/>
  <c r="G1635" i="4"/>
  <c r="G1627" i="4"/>
  <c r="G1631" i="4"/>
  <c r="G1636" i="4"/>
  <c r="G1633" i="4"/>
  <c r="G1634" i="4"/>
  <c r="G1639" i="4"/>
  <c r="G1630" i="4"/>
  <c r="T51" i="26"/>
  <c r="G497" i="26" l="1"/>
  <c r="E497" i="26"/>
  <c r="H497" i="26"/>
  <c r="F497" i="26"/>
  <c r="R487" i="26"/>
  <c r="T487" i="26" s="1"/>
  <c r="N438" i="26"/>
  <c r="M438" i="26"/>
  <c r="Q438" i="26"/>
  <c r="T438" i="26" s="1"/>
  <c r="T444" i="26"/>
  <c r="O546" i="26"/>
  <c r="O168" i="26"/>
  <c r="B47" i="26"/>
  <c r="I59" i="26"/>
  <c r="H59" i="26"/>
  <c r="G59" i="26"/>
  <c r="F59" i="26"/>
  <c r="K59" i="26"/>
  <c r="D59" i="26"/>
  <c r="C59" i="26"/>
  <c r="T52" i="26"/>
  <c r="K48" i="26"/>
  <c r="E48" i="26"/>
  <c r="F48" i="26" s="1"/>
  <c r="D48" i="26"/>
  <c r="C48" i="26"/>
  <c r="W48" i="26" s="1"/>
  <c r="L439" i="26" l="1"/>
  <c r="P438" i="26"/>
  <c r="S438" i="26" s="1"/>
  <c r="L445" i="26"/>
  <c r="S444" i="26"/>
  <c r="U444" i="26" s="1"/>
  <c r="O547" i="26"/>
  <c r="C51" i="26"/>
  <c r="C52" i="26" s="1"/>
  <c r="V52" i="26" s="1"/>
  <c r="O169" i="26"/>
  <c r="X60" i="26"/>
  <c r="H48" i="26"/>
  <c r="G48" i="26"/>
  <c r="I48" i="26"/>
  <c r="B591" i="26"/>
  <c r="N593" i="26"/>
  <c r="N594" i="26" s="1"/>
  <c r="K592" i="26"/>
  <c r="K593" i="26" s="1"/>
  <c r="K594" i="26" s="1"/>
  <c r="I592" i="26"/>
  <c r="I593" i="26" s="1"/>
  <c r="I594" i="26" s="1"/>
  <c r="D592" i="26"/>
  <c r="C592" i="26"/>
  <c r="W592" i="26" s="1"/>
  <c r="B599" i="26"/>
  <c r="K600" i="26"/>
  <c r="K601" i="26" s="1"/>
  <c r="K602" i="26" s="1"/>
  <c r="I600" i="26"/>
  <c r="I601" i="26" s="1"/>
  <c r="I602" i="26" s="1"/>
  <c r="D600" i="26"/>
  <c r="C600" i="26"/>
  <c r="W600" i="26" s="1"/>
  <c r="N439" i="26" l="1"/>
  <c r="M439" i="26"/>
  <c r="Q439" i="26"/>
  <c r="T439" i="26" s="1"/>
  <c r="R438" i="26"/>
  <c r="U438" i="26" s="1"/>
  <c r="O548" i="26"/>
  <c r="V51" i="26"/>
  <c r="T60" i="26" s="1"/>
  <c r="V60" i="26" s="1"/>
  <c r="W59" i="26" s="1"/>
  <c r="O170" i="26"/>
  <c r="X49" i="26"/>
  <c r="I596" i="26"/>
  <c r="I595" i="26"/>
  <c r="N596" i="26"/>
  <c r="N595" i="26"/>
  <c r="K595" i="26"/>
  <c r="K596" i="26"/>
  <c r="I603" i="26"/>
  <c r="K603" i="26"/>
  <c r="B97" i="26"/>
  <c r="G1613" i="4"/>
  <c r="G1612" i="4"/>
  <c r="G1610" i="4"/>
  <c r="G1611" i="4"/>
  <c r="P439" i="26" l="1"/>
  <c r="S439" i="26" s="1"/>
  <c r="R439" i="26" s="1"/>
  <c r="L440" i="26"/>
  <c r="T445" i="26"/>
  <c r="L446" i="26"/>
  <c r="O549" i="26"/>
  <c r="O171" i="26"/>
  <c r="B614" i="26"/>
  <c r="M440" i="26" l="1"/>
  <c r="Q440" i="26" s="1"/>
  <c r="T440" i="26" s="1"/>
  <c r="N440" i="26"/>
  <c r="U439" i="26"/>
  <c r="S445" i="26"/>
  <c r="U445" i="26" s="1"/>
  <c r="O550" i="26"/>
  <c r="O172" i="26"/>
  <c r="T611" i="26"/>
  <c r="K607" i="26"/>
  <c r="D607" i="26"/>
  <c r="C607" i="26"/>
  <c r="B606" i="26"/>
  <c r="M102" i="26"/>
  <c r="K98" i="26"/>
  <c r="D98" i="26"/>
  <c r="V102" i="26" s="1"/>
  <c r="C98" i="26"/>
  <c r="C611" i="26" l="1"/>
  <c r="V611" i="26" s="1"/>
  <c r="W607" i="26" s="1"/>
  <c r="L441" i="26"/>
  <c r="P440" i="26"/>
  <c r="S440" i="26" s="1"/>
  <c r="L447" i="26"/>
  <c r="T446" i="26"/>
  <c r="O551" i="26"/>
  <c r="O173" i="26"/>
  <c r="V101" i="26"/>
  <c r="W98" i="26" s="1"/>
  <c r="N441" i="26" l="1"/>
  <c r="M441" i="26"/>
  <c r="Q441" i="26"/>
  <c r="T441" i="26" s="1"/>
  <c r="R440" i="26"/>
  <c r="U440" i="26" s="1"/>
  <c r="S446" i="26"/>
  <c r="U446" i="26" s="1"/>
  <c r="T447" i="26"/>
  <c r="O552" i="26"/>
  <c r="O174" i="26"/>
  <c r="P441" i="26" l="1"/>
  <c r="S441" i="26" s="1"/>
  <c r="R441" i="26" s="1"/>
  <c r="L442" i="26"/>
  <c r="L448" i="26"/>
  <c r="S447" i="26"/>
  <c r="U447" i="26" s="1"/>
  <c r="O553" i="26"/>
  <c r="O175" i="26"/>
  <c r="L343" i="26"/>
  <c r="N442" i="26" l="1"/>
  <c r="M442" i="26"/>
  <c r="Q442" i="26" s="1"/>
  <c r="T442" i="26" s="1"/>
  <c r="U441" i="26"/>
  <c r="O554" i="26"/>
  <c r="O176" i="26"/>
  <c r="R346" i="26"/>
  <c r="G351" i="26"/>
  <c r="L342" i="26"/>
  <c r="K234" i="26"/>
  <c r="K235" i="26" s="1"/>
  <c r="K236" i="26" s="1"/>
  <c r="K237" i="26" s="1"/>
  <c r="K238" i="26" s="1"/>
  <c r="K239" i="26" s="1"/>
  <c r="K240" i="26" s="1"/>
  <c r="K241" i="26" s="1"/>
  <c r="K242" i="26" s="1"/>
  <c r="K243" i="26" s="1"/>
  <c r="K244" i="26" s="1"/>
  <c r="K245" i="26" s="1"/>
  <c r="K246" i="26" s="1"/>
  <c r="K247" i="26" s="1"/>
  <c r="K248" i="26" s="1"/>
  <c r="K249" i="26" s="1"/>
  <c r="K250" i="26" s="1"/>
  <c r="K251" i="26" s="1"/>
  <c r="K252" i="26" s="1"/>
  <c r="K253" i="26" s="1"/>
  <c r="K254" i="26" s="1"/>
  <c r="K255" i="26" s="1"/>
  <c r="K256" i="26" s="1"/>
  <c r="K257" i="26" s="1"/>
  <c r="K258" i="26" s="1"/>
  <c r="K259" i="26" s="1"/>
  <c r="K260" i="26" s="1"/>
  <c r="K261" i="26" s="1"/>
  <c r="K262" i="26" s="1"/>
  <c r="K263" i="26" s="1"/>
  <c r="K264" i="26" s="1"/>
  <c r="K265" i="26" s="1"/>
  <c r="K266" i="26" s="1"/>
  <c r="K267" i="26" s="1"/>
  <c r="K268" i="26" s="1"/>
  <c r="K269" i="26" s="1"/>
  <c r="K270" i="26" s="1"/>
  <c r="K271" i="26" s="1"/>
  <c r="K272" i="26" s="1"/>
  <c r="K273" i="26" s="1"/>
  <c r="K274" i="26" s="1"/>
  <c r="K275" i="26" s="1"/>
  <c r="K276" i="26" s="1"/>
  <c r="K277" i="26" s="1"/>
  <c r="K278" i="26" s="1"/>
  <c r="K279" i="26" s="1"/>
  <c r="K280" i="26" s="1"/>
  <c r="K281" i="26" s="1"/>
  <c r="K282" i="26" s="1"/>
  <c r="K283" i="26" s="1"/>
  <c r="P442" i="26" l="1"/>
  <c r="S442" i="26" s="1"/>
  <c r="R442" i="26" s="1"/>
  <c r="L443" i="26"/>
  <c r="L449" i="26"/>
  <c r="T448" i="26"/>
  <c r="O555" i="26"/>
  <c r="Q346" i="26"/>
  <c r="P346" i="26"/>
  <c r="O177" i="26"/>
  <c r="L341" i="26"/>
  <c r="Q352" i="26"/>
  <c r="Q353" i="26" s="1"/>
  <c r="M352" i="26"/>
  <c r="K409" i="26"/>
  <c r="I409" i="26"/>
  <c r="H409" i="26" s="1"/>
  <c r="D409" i="26"/>
  <c r="C409" i="26"/>
  <c r="W409" i="26" s="1"/>
  <c r="K404" i="26"/>
  <c r="I404" i="26"/>
  <c r="H404" i="26" s="1"/>
  <c r="D404" i="26"/>
  <c r="C404" i="26"/>
  <c r="W404" i="26" s="1"/>
  <c r="N443" i="26" l="1"/>
  <c r="M443" i="26"/>
  <c r="Q443" i="26"/>
  <c r="T443" i="26" s="1"/>
  <c r="U442" i="26"/>
  <c r="T449" i="26"/>
  <c r="S448" i="26"/>
  <c r="U448" i="26" s="1"/>
  <c r="O556" i="26"/>
  <c r="O178" i="26"/>
  <c r="M353" i="26"/>
  <c r="G352" i="26"/>
  <c r="E409" i="26"/>
  <c r="I352" i="26"/>
  <c r="H352" i="26"/>
  <c r="Q354" i="26"/>
  <c r="I353" i="26"/>
  <c r="H353" i="26"/>
  <c r="F404" i="26"/>
  <c r="F409" i="26"/>
  <c r="E404" i="26"/>
  <c r="G404" i="26"/>
  <c r="G409" i="26"/>
  <c r="C351" i="26"/>
  <c r="P443" i="26" l="1"/>
  <c r="S443" i="26" s="1"/>
  <c r="R443" i="26" s="1"/>
  <c r="L450" i="26"/>
  <c r="S449" i="26"/>
  <c r="U449" i="26" s="1"/>
  <c r="O557" i="26"/>
  <c r="O179" i="26"/>
  <c r="X410" i="26"/>
  <c r="O346" i="26"/>
  <c r="H354" i="26"/>
  <c r="I354" i="26"/>
  <c r="M354" i="26"/>
  <c r="G353" i="26"/>
  <c r="X405" i="26"/>
  <c r="G347" i="26"/>
  <c r="G346" i="26"/>
  <c r="G345" i="26"/>
  <c r="G344" i="26"/>
  <c r="G343" i="26"/>
  <c r="G342" i="26"/>
  <c r="G341" i="26"/>
  <c r="G340" i="26"/>
  <c r="G339" i="26"/>
  <c r="U443" i="26" l="1"/>
  <c r="T450" i="26"/>
  <c r="O558" i="26"/>
  <c r="O180" i="26"/>
  <c r="Q355" i="26"/>
  <c r="M355" i="26"/>
  <c r="G354" i="26"/>
  <c r="I355" i="26"/>
  <c r="H355" i="26"/>
  <c r="X298" i="26"/>
  <c r="H297" i="26" s="1"/>
  <c r="O345" i="26"/>
  <c r="P345" i="26"/>
  <c r="Q345" i="26"/>
  <c r="R345" i="26"/>
  <c r="N345" i="26"/>
  <c r="X301" i="26"/>
  <c r="L300" i="26"/>
  <c r="L304" i="26" s="1"/>
  <c r="L308" i="26" s="1"/>
  <c r="L312" i="26" s="1"/>
  <c r="L316" i="26" s="1"/>
  <c r="L320" i="26" s="1"/>
  <c r="L324" i="26" s="1"/>
  <c r="L328" i="26" s="1"/>
  <c r="L332" i="26" s="1"/>
  <c r="K300" i="26"/>
  <c r="K304" i="26" s="1"/>
  <c r="K308" i="26" s="1"/>
  <c r="K312" i="26" s="1"/>
  <c r="K316" i="26" s="1"/>
  <c r="K320" i="26" s="1"/>
  <c r="K324" i="26" s="1"/>
  <c r="K328" i="26" s="1"/>
  <c r="K332" i="26" s="1"/>
  <c r="J300" i="26"/>
  <c r="J304" i="26" s="1"/>
  <c r="J308" i="26" s="1"/>
  <c r="J312" i="26" s="1"/>
  <c r="J316" i="26" s="1"/>
  <c r="J320" i="26" s="1"/>
  <c r="J324" i="26" s="1"/>
  <c r="J328" i="26" s="1"/>
  <c r="J332" i="26" s="1"/>
  <c r="I300" i="26"/>
  <c r="I304" i="26" s="1"/>
  <c r="I308" i="26" s="1"/>
  <c r="I312" i="26" s="1"/>
  <c r="I316" i="26" s="1"/>
  <c r="I320" i="26" s="1"/>
  <c r="I324" i="26" s="1"/>
  <c r="I328" i="26" s="1"/>
  <c r="I332" i="26" s="1"/>
  <c r="H300" i="26"/>
  <c r="H304" i="26" s="1"/>
  <c r="H308" i="26" s="1"/>
  <c r="H312" i="26" s="1"/>
  <c r="H316" i="26" s="1"/>
  <c r="H320" i="26" s="1"/>
  <c r="H324" i="26" s="1"/>
  <c r="H328" i="26" s="1"/>
  <c r="H332" i="26" s="1"/>
  <c r="G300" i="26"/>
  <c r="G304" i="26" s="1"/>
  <c r="G308" i="26" s="1"/>
  <c r="G312" i="26" s="1"/>
  <c r="G316" i="26" s="1"/>
  <c r="G320" i="26" s="1"/>
  <c r="G324" i="26" s="1"/>
  <c r="G328" i="26" s="1"/>
  <c r="G332" i="26" s="1"/>
  <c r="F300" i="26"/>
  <c r="F304" i="26" s="1"/>
  <c r="F308" i="26" s="1"/>
  <c r="F312" i="26" s="1"/>
  <c r="F316" i="26" s="1"/>
  <c r="F320" i="26" s="1"/>
  <c r="F324" i="26" s="1"/>
  <c r="F328" i="26" s="1"/>
  <c r="F332" i="26" s="1"/>
  <c r="E300" i="26"/>
  <c r="E304" i="26" s="1"/>
  <c r="E308" i="26" s="1"/>
  <c r="E312" i="26" s="1"/>
  <c r="E316" i="26" s="1"/>
  <c r="E320" i="26" s="1"/>
  <c r="E324" i="26" s="1"/>
  <c r="E328" i="26" s="1"/>
  <c r="E332" i="26" s="1"/>
  <c r="D300" i="26"/>
  <c r="D304" i="26" s="1"/>
  <c r="D308" i="26" s="1"/>
  <c r="D312" i="26" s="1"/>
  <c r="D316" i="26" s="1"/>
  <c r="D320" i="26" s="1"/>
  <c r="D324" i="26" s="1"/>
  <c r="D328" i="26" s="1"/>
  <c r="D332" i="26" s="1"/>
  <c r="C300" i="26"/>
  <c r="C304" i="26" s="1"/>
  <c r="C308" i="26" s="1"/>
  <c r="C312" i="26" s="1"/>
  <c r="C316" i="26" s="1"/>
  <c r="C320" i="26" s="1"/>
  <c r="C324" i="26" s="1"/>
  <c r="C328" i="26" s="1"/>
  <c r="C332" i="26" s="1"/>
  <c r="K297" i="26"/>
  <c r="I297" i="26"/>
  <c r="D297" i="26"/>
  <c r="C297" i="26"/>
  <c r="L451" i="26" l="1"/>
  <c r="S450" i="26"/>
  <c r="U450" i="26" s="1"/>
  <c r="O559" i="26"/>
  <c r="O181" i="26"/>
  <c r="M356" i="26"/>
  <c r="G355" i="26"/>
  <c r="Q356" i="26"/>
  <c r="I356" i="26"/>
  <c r="H356" i="26"/>
  <c r="D301" i="26"/>
  <c r="X302" i="26"/>
  <c r="K301" i="26"/>
  <c r="X305" i="26"/>
  <c r="X306" i="26" s="1"/>
  <c r="C301" i="26"/>
  <c r="I301" i="26"/>
  <c r="T79" i="26"/>
  <c r="V79" i="26" s="1"/>
  <c r="M79" i="26"/>
  <c r="T71" i="26"/>
  <c r="V71" i="26" s="1"/>
  <c r="M71" i="26"/>
  <c r="I3" i="18"/>
  <c r="B74" i="26"/>
  <c r="T70" i="26"/>
  <c r="V70" i="26" s="1"/>
  <c r="B65" i="26"/>
  <c r="Q93" i="26"/>
  <c r="K92" i="26"/>
  <c r="D92" i="26"/>
  <c r="C92" i="26"/>
  <c r="K87" i="26"/>
  <c r="D87" i="26"/>
  <c r="C87" i="26"/>
  <c r="K83" i="26"/>
  <c r="D83" i="26"/>
  <c r="C83" i="26"/>
  <c r="T80" i="26"/>
  <c r="V80" i="26" s="1"/>
  <c r="M80" i="26"/>
  <c r="T78" i="26"/>
  <c r="V78" i="26" s="1"/>
  <c r="K75" i="26"/>
  <c r="D75" i="26"/>
  <c r="C75" i="26"/>
  <c r="M70" i="26"/>
  <c r="T69" i="26"/>
  <c r="V69" i="26" s="1"/>
  <c r="K66" i="26"/>
  <c r="D66" i="26"/>
  <c r="C66" i="26"/>
  <c r="W66" i="26" s="1"/>
  <c r="K24" i="26"/>
  <c r="I24" i="26"/>
  <c r="H24" i="26" s="1"/>
  <c r="D24" i="26"/>
  <c r="C24" i="26"/>
  <c r="W24" i="26" s="1"/>
  <c r="B39" i="26"/>
  <c r="T44" i="26"/>
  <c r="T43" i="26"/>
  <c r="K40" i="26"/>
  <c r="E40" i="26"/>
  <c r="G40" i="26" s="1"/>
  <c r="D40" i="26"/>
  <c r="C40" i="26"/>
  <c r="C43" i="26" s="1"/>
  <c r="C44" i="26" s="1"/>
  <c r="K632" i="26"/>
  <c r="I632" i="26"/>
  <c r="H632" i="26" s="1"/>
  <c r="D632" i="26"/>
  <c r="C632" i="26"/>
  <c r="W632" i="26" s="1"/>
  <c r="K627" i="26"/>
  <c r="I627" i="26"/>
  <c r="H627" i="26" s="1"/>
  <c r="D627" i="26"/>
  <c r="X620" i="26"/>
  <c r="X619" i="26"/>
  <c r="L618" i="26"/>
  <c r="K618" i="26"/>
  <c r="J618" i="26"/>
  <c r="I618" i="26"/>
  <c r="H618" i="26"/>
  <c r="G618" i="26"/>
  <c r="F618" i="26"/>
  <c r="E618" i="26"/>
  <c r="D618" i="26"/>
  <c r="C618" i="26"/>
  <c r="X616" i="26"/>
  <c r="P615" i="26"/>
  <c r="Q615" i="26" s="1"/>
  <c r="K615" i="26"/>
  <c r="I615" i="26"/>
  <c r="D615" i="26"/>
  <c r="K143" i="26"/>
  <c r="I143" i="26"/>
  <c r="H143" i="26" s="1"/>
  <c r="D143" i="26"/>
  <c r="C143" i="26"/>
  <c r="W143" i="26" s="1"/>
  <c r="K138" i="26"/>
  <c r="I138" i="26"/>
  <c r="H138" i="26" s="1"/>
  <c r="D138" i="26"/>
  <c r="C138" i="26"/>
  <c r="W138" i="26" s="1"/>
  <c r="B134" i="26"/>
  <c r="X129" i="26"/>
  <c r="E131" i="26" s="1"/>
  <c r="X128" i="26"/>
  <c r="D128" i="26" s="1"/>
  <c r="L127" i="26"/>
  <c r="K127" i="26"/>
  <c r="J127" i="26"/>
  <c r="I127" i="26"/>
  <c r="H127" i="26"/>
  <c r="G127" i="26"/>
  <c r="F127" i="26"/>
  <c r="E127" i="26"/>
  <c r="D127" i="26"/>
  <c r="C127" i="26"/>
  <c r="X125" i="26"/>
  <c r="P124" i="26"/>
  <c r="Q124" i="26" s="1"/>
  <c r="K124" i="26"/>
  <c r="I124" i="26"/>
  <c r="D124" i="26"/>
  <c r="C124" i="26"/>
  <c r="B123" i="26"/>
  <c r="N18" i="26"/>
  <c r="N19" i="26" s="1"/>
  <c r="K17" i="26"/>
  <c r="K18" i="26" s="1"/>
  <c r="K19" i="26" s="1"/>
  <c r="I17" i="26"/>
  <c r="I18" i="26" s="1"/>
  <c r="I19" i="26" s="1"/>
  <c r="D17" i="26"/>
  <c r="C17" i="26"/>
  <c r="K291" i="26"/>
  <c r="I291" i="26"/>
  <c r="H291" i="26" s="1"/>
  <c r="D291" i="26"/>
  <c r="C291" i="26"/>
  <c r="W291" i="26" s="1"/>
  <c r="K286" i="26"/>
  <c r="I286" i="26"/>
  <c r="H286" i="26" s="1"/>
  <c r="D286" i="26"/>
  <c r="C286" i="26"/>
  <c r="W286" i="26" s="1"/>
  <c r="C234" i="26"/>
  <c r="X228" i="26"/>
  <c r="E230" i="26" s="1"/>
  <c r="X227" i="26"/>
  <c r="D227" i="26" s="1"/>
  <c r="L226" i="26"/>
  <c r="K226" i="26"/>
  <c r="J226" i="26"/>
  <c r="I226" i="26"/>
  <c r="H226" i="26"/>
  <c r="G226" i="26"/>
  <c r="F226" i="26"/>
  <c r="E226" i="26"/>
  <c r="D226" i="26"/>
  <c r="C226" i="26"/>
  <c r="X224" i="26"/>
  <c r="E229" i="26" s="1"/>
  <c r="K223" i="26"/>
  <c r="I223" i="26"/>
  <c r="D223" i="26"/>
  <c r="C223" i="26"/>
  <c r="W223" i="26" s="1"/>
  <c r="E130" i="26" l="1"/>
  <c r="T451" i="26"/>
  <c r="O560" i="26"/>
  <c r="K619" i="26"/>
  <c r="C619" i="26"/>
  <c r="W619" i="26" s="1"/>
  <c r="V44" i="26"/>
  <c r="V43" i="26"/>
  <c r="W40" i="26"/>
  <c r="W75" i="26"/>
  <c r="O182" i="26"/>
  <c r="H357" i="26"/>
  <c r="I357" i="26"/>
  <c r="Q357" i="26"/>
  <c r="M357" i="26"/>
  <c r="M358" i="26" s="1"/>
  <c r="G356" i="26"/>
  <c r="X309" i="26"/>
  <c r="X310" i="26" s="1"/>
  <c r="I305" i="26"/>
  <c r="K305" i="26"/>
  <c r="D305" i="26"/>
  <c r="C305" i="26"/>
  <c r="E24" i="26"/>
  <c r="F24" i="26"/>
  <c r="G24" i="26"/>
  <c r="D619" i="26"/>
  <c r="H40" i="26"/>
  <c r="I40" i="26"/>
  <c r="F40" i="26"/>
  <c r="I619" i="26"/>
  <c r="F627" i="26"/>
  <c r="G627" i="26"/>
  <c r="G632" i="26"/>
  <c r="K622" i="26"/>
  <c r="I128" i="26"/>
  <c r="E632" i="26"/>
  <c r="E143" i="26"/>
  <c r="E627" i="26"/>
  <c r="F632" i="26"/>
  <c r="E138" i="26"/>
  <c r="F143" i="26"/>
  <c r="F138" i="26"/>
  <c r="G143" i="26"/>
  <c r="G138" i="26"/>
  <c r="C128" i="26"/>
  <c r="K128" i="26"/>
  <c r="N21" i="26"/>
  <c r="N20" i="26"/>
  <c r="I21" i="26"/>
  <c r="I20" i="26"/>
  <c r="K20" i="26"/>
  <c r="K21" i="26"/>
  <c r="E286" i="26"/>
  <c r="E291" i="26"/>
  <c r="F286" i="26"/>
  <c r="F291" i="26"/>
  <c r="G286" i="26"/>
  <c r="G291" i="26"/>
  <c r="I227" i="26"/>
  <c r="K227" i="26"/>
  <c r="C227" i="26"/>
  <c r="W227" i="26" s="1"/>
  <c r="H124" i="26" l="1"/>
  <c r="E124" i="26"/>
  <c r="S451" i="26"/>
  <c r="U451" i="26" s="1"/>
  <c r="L452" i="26"/>
  <c r="W83" i="26"/>
  <c r="W87" i="26" s="1"/>
  <c r="U93" i="26"/>
  <c r="V93" i="26" s="1"/>
  <c r="W92" i="26" s="1"/>
  <c r="O561" i="26"/>
  <c r="O183" i="26"/>
  <c r="G357" i="26"/>
  <c r="Q358" i="26"/>
  <c r="I358" i="26"/>
  <c r="H358" i="26"/>
  <c r="X313" i="26"/>
  <c r="X314" i="26" s="1"/>
  <c r="I309" i="26"/>
  <c r="C309" i="26"/>
  <c r="K309" i="26"/>
  <c r="D309" i="26"/>
  <c r="X633" i="26"/>
  <c r="X25" i="26"/>
  <c r="X41" i="26"/>
  <c r="X628" i="26"/>
  <c r="X144" i="26"/>
  <c r="X139" i="26"/>
  <c r="X287" i="26"/>
  <c r="X292" i="26"/>
  <c r="O562" i="26" l="1"/>
  <c r="O184" i="26"/>
  <c r="H359" i="26"/>
  <c r="I359" i="26"/>
  <c r="Q359" i="26"/>
  <c r="M359" i="26"/>
  <c r="G358" i="26"/>
  <c r="K313" i="26"/>
  <c r="C313" i="26"/>
  <c r="X317" i="26"/>
  <c r="X318" i="26" s="1"/>
  <c r="I313" i="26"/>
  <c r="D313" i="26"/>
  <c r="Y7" i="10"/>
  <c r="V7" i="10"/>
  <c r="Y6" i="10"/>
  <c r="V6" i="10"/>
  <c r="I6" i="10"/>
  <c r="T452" i="26" l="1"/>
  <c r="L453" i="26"/>
  <c r="O563" i="26"/>
  <c r="O185" i="26"/>
  <c r="Q360" i="26"/>
  <c r="M360" i="26"/>
  <c r="G359" i="26"/>
  <c r="I360" i="26"/>
  <c r="H360" i="26"/>
  <c r="D317" i="26"/>
  <c r="K317" i="26"/>
  <c r="C317" i="26"/>
  <c r="X321" i="26"/>
  <c r="X322" i="26" s="1"/>
  <c r="I317" i="26"/>
  <c r="S93" i="26"/>
  <c r="T93" i="26" s="1"/>
  <c r="S452" i="26" l="1"/>
  <c r="U452" i="26" s="1"/>
  <c r="O564" i="26"/>
  <c r="O186" i="26"/>
  <c r="I361" i="26"/>
  <c r="H361" i="26"/>
  <c r="Q361" i="26"/>
  <c r="M361" i="26"/>
  <c r="G360" i="26"/>
  <c r="X325" i="26"/>
  <c r="I321" i="26"/>
  <c r="D321" i="26"/>
  <c r="K321" i="26"/>
  <c r="C321" i="26"/>
  <c r="G1608" i="4"/>
  <c r="G1607" i="4"/>
  <c r="G1606" i="4"/>
  <c r="G1605" i="4"/>
  <c r="G1604" i="4"/>
  <c r="L454" i="26" l="1"/>
  <c r="T453" i="26"/>
  <c r="O565" i="26"/>
  <c r="O187" i="26"/>
  <c r="Q362" i="26"/>
  <c r="M362" i="26"/>
  <c r="G361" i="26"/>
  <c r="H362" i="26"/>
  <c r="I362" i="26"/>
  <c r="X329" i="26"/>
  <c r="X326" i="26"/>
  <c r="I325" i="26"/>
  <c r="D325" i="26"/>
  <c r="C325" i="26"/>
  <c r="K325" i="26"/>
  <c r="T454" i="26" l="1"/>
  <c r="S453" i="26"/>
  <c r="U453" i="26" s="1"/>
  <c r="O566" i="26"/>
  <c r="O188" i="26"/>
  <c r="I363" i="26"/>
  <c r="H363" i="26"/>
  <c r="M363" i="26"/>
  <c r="G362" i="26"/>
  <c r="Q363" i="26"/>
  <c r="Q364" i="26" s="1"/>
  <c r="X330" i="26"/>
  <c r="D329" i="26"/>
  <c r="X333" i="26"/>
  <c r="I329" i="26"/>
  <c r="C329" i="26"/>
  <c r="K329" i="26"/>
  <c r="L455" i="26" l="1"/>
  <c r="S454" i="26"/>
  <c r="U454" i="26" s="1"/>
  <c r="O567" i="26"/>
  <c r="O189" i="26"/>
  <c r="M364" i="26"/>
  <c r="G363" i="26"/>
  <c r="I364" i="26"/>
  <c r="H364" i="26"/>
  <c r="X334" i="26"/>
  <c r="D333" i="26"/>
  <c r="I333" i="26"/>
  <c r="C333" i="26"/>
  <c r="K333" i="26"/>
  <c r="I3" i="10"/>
  <c r="I3" i="19" s="1"/>
  <c r="I3" i="27" s="1"/>
  <c r="I1" i="18"/>
  <c r="I1" i="10" s="1"/>
  <c r="I1" i="19" s="1"/>
  <c r="I1" i="27" s="1"/>
  <c r="I7" i="18"/>
  <c r="I7" i="10" s="1"/>
  <c r="I7" i="19" s="1"/>
  <c r="I7" i="27" s="1"/>
  <c r="K638" i="26"/>
  <c r="D638" i="26"/>
  <c r="C638" i="26"/>
  <c r="Y3" i="26"/>
  <c r="AI3" i="21" s="1"/>
  <c r="A3" i="21" s="1"/>
  <c r="Y7" i="19"/>
  <c r="W7" i="27" s="1"/>
  <c r="V7" i="19"/>
  <c r="T7" i="27" s="1"/>
  <c r="Y6" i="19"/>
  <c r="W6" i="27" s="1"/>
  <c r="V6" i="19"/>
  <c r="T6" i="27" s="1"/>
  <c r="I6" i="19"/>
  <c r="I6" i="27" s="1"/>
  <c r="G1355" i="4"/>
  <c r="F1361" i="4"/>
  <c r="F1359" i="4"/>
  <c r="F1358" i="4"/>
  <c r="H194" i="4"/>
  <c r="I194" i="4"/>
  <c r="J194" i="4"/>
  <c r="H196" i="4"/>
  <c r="I196" i="4"/>
  <c r="J196" i="4"/>
  <c r="H197" i="4"/>
  <c r="I197" i="4"/>
  <c r="J197" i="4"/>
  <c r="H198" i="4"/>
  <c r="I198" i="4"/>
  <c r="J198" i="4"/>
  <c r="H199" i="4"/>
  <c r="I199" i="4"/>
  <c r="J199" i="4"/>
  <c r="H200" i="4"/>
  <c r="I200" i="4"/>
  <c r="J200" i="4"/>
  <c r="H201" i="4"/>
  <c r="I201" i="4"/>
  <c r="J201" i="4"/>
  <c r="H202" i="4"/>
  <c r="I202" i="4"/>
  <c r="J202" i="4"/>
  <c r="H203" i="4"/>
  <c r="I203" i="4"/>
  <c r="J203" i="4"/>
  <c r="H204" i="4"/>
  <c r="I204" i="4"/>
  <c r="J204" i="4"/>
  <c r="H205" i="4"/>
  <c r="I205" i="4"/>
  <c r="J205" i="4"/>
  <c r="H206" i="4"/>
  <c r="I206" i="4"/>
  <c r="J206" i="4"/>
  <c r="H207" i="4"/>
  <c r="I207" i="4"/>
  <c r="J207" i="4"/>
  <c r="H208" i="4"/>
  <c r="I208" i="4"/>
  <c r="J208" i="4"/>
  <c r="H209" i="4"/>
  <c r="I209" i="4"/>
  <c r="J209" i="4"/>
  <c r="H210" i="4"/>
  <c r="I210" i="4"/>
  <c r="J210" i="4"/>
  <c r="H211" i="4"/>
  <c r="I211" i="4"/>
  <c r="J211" i="4"/>
  <c r="H212" i="4"/>
  <c r="I212" i="4"/>
  <c r="J212" i="4"/>
  <c r="H213" i="4"/>
  <c r="I213" i="4"/>
  <c r="J213" i="4"/>
  <c r="H214" i="4"/>
  <c r="I214" i="4"/>
  <c r="J214" i="4"/>
  <c r="H215" i="4"/>
  <c r="I215" i="4"/>
  <c r="J215" i="4"/>
  <c r="H216" i="4"/>
  <c r="I216" i="4"/>
  <c r="J216" i="4"/>
  <c r="H217" i="4"/>
  <c r="I217" i="4"/>
  <c r="J217" i="4"/>
  <c r="H218" i="4"/>
  <c r="I218" i="4"/>
  <c r="J218" i="4"/>
  <c r="H219" i="4"/>
  <c r="I219" i="4"/>
  <c r="J219" i="4"/>
  <c r="H220" i="4"/>
  <c r="I220" i="4"/>
  <c r="J220" i="4"/>
  <c r="H221" i="4"/>
  <c r="I221" i="4"/>
  <c r="J221" i="4"/>
  <c r="H222" i="4"/>
  <c r="I222" i="4"/>
  <c r="J222" i="4"/>
  <c r="H223" i="4"/>
  <c r="I223" i="4"/>
  <c r="J223" i="4"/>
  <c r="H224" i="4"/>
  <c r="I224" i="4"/>
  <c r="J224" i="4"/>
  <c r="H226" i="4"/>
  <c r="I226" i="4"/>
  <c r="J226" i="4"/>
  <c r="R226" i="4"/>
  <c r="T226" i="4"/>
  <c r="H227" i="4"/>
  <c r="I227" i="4"/>
  <c r="J227" i="4"/>
  <c r="R227" i="4"/>
  <c r="T227" i="4"/>
  <c r="H228" i="4"/>
  <c r="I228" i="4"/>
  <c r="J228" i="4"/>
  <c r="R228" i="4"/>
  <c r="T228" i="4"/>
  <c r="H229" i="4"/>
  <c r="I229" i="4"/>
  <c r="J229" i="4"/>
  <c r="R229" i="4"/>
  <c r="T229" i="4"/>
  <c r="H230" i="4"/>
  <c r="I230" i="4"/>
  <c r="J230" i="4"/>
  <c r="R230" i="4"/>
  <c r="T230" i="4"/>
  <c r="H231" i="4"/>
  <c r="I231" i="4"/>
  <c r="J231" i="4"/>
  <c r="R231" i="4"/>
  <c r="T231" i="4"/>
  <c r="H232" i="4"/>
  <c r="I232" i="4"/>
  <c r="J232" i="4"/>
  <c r="R232" i="4"/>
  <c r="T232" i="4"/>
  <c r="H233" i="4"/>
  <c r="I233" i="4"/>
  <c r="J233" i="4"/>
  <c r="R233" i="4"/>
  <c r="T233" i="4"/>
  <c r="H234" i="4"/>
  <c r="I234" i="4"/>
  <c r="J234" i="4"/>
  <c r="R234" i="4"/>
  <c r="T234" i="4"/>
  <c r="H235" i="4"/>
  <c r="I235" i="4"/>
  <c r="J235" i="4"/>
  <c r="R235" i="4"/>
  <c r="T235" i="4"/>
  <c r="H236" i="4"/>
  <c r="I236" i="4"/>
  <c r="J236" i="4"/>
  <c r="R236" i="4"/>
  <c r="T236" i="4"/>
  <c r="H237" i="4"/>
  <c r="I237" i="4"/>
  <c r="J237" i="4"/>
  <c r="R237" i="4"/>
  <c r="T237" i="4"/>
  <c r="H238" i="4"/>
  <c r="I238" i="4"/>
  <c r="J238" i="4"/>
  <c r="R238" i="4"/>
  <c r="T238" i="4"/>
  <c r="H239" i="4"/>
  <c r="I239" i="4"/>
  <c r="J239" i="4"/>
  <c r="R239" i="4"/>
  <c r="T239" i="4"/>
  <c r="H240" i="4"/>
  <c r="I240" i="4"/>
  <c r="J240" i="4"/>
  <c r="R240" i="4"/>
  <c r="T240" i="4"/>
  <c r="H241" i="4"/>
  <c r="I241" i="4"/>
  <c r="J241" i="4"/>
  <c r="R241" i="4"/>
  <c r="T241" i="4"/>
  <c r="H242" i="4"/>
  <c r="I242" i="4"/>
  <c r="J242" i="4"/>
  <c r="R242" i="4"/>
  <c r="T242" i="4"/>
  <c r="H243" i="4"/>
  <c r="I243" i="4"/>
  <c r="J243" i="4"/>
  <c r="R243" i="4"/>
  <c r="T243" i="4"/>
  <c r="H244" i="4"/>
  <c r="I244" i="4"/>
  <c r="J244" i="4"/>
  <c r="R244" i="4"/>
  <c r="T244" i="4"/>
  <c r="H245" i="4"/>
  <c r="I245" i="4"/>
  <c r="J245" i="4"/>
  <c r="R245" i="4"/>
  <c r="T245" i="4"/>
  <c r="H246" i="4"/>
  <c r="I246" i="4"/>
  <c r="J246" i="4"/>
  <c r="R246" i="4"/>
  <c r="T246" i="4"/>
  <c r="H247" i="4"/>
  <c r="I247" i="4"/>
  <c r="J247" i="4"/>
  <c r="R247" i="4"/>
  <c r="T247" i="4"/>
  <c r="H248" i="4"/>
  <c r="I248" i="4"/>
  <c r="J248" i="4"/>
  <c r="R248" i="4"/>
  <c r="T248" i="4"/>
  <c r="H249" i="4"/>
  <c r="I249" i="4"/>
  <c r="J249" i="4"/>
  <c r="R249" i="4"/>
  <c r="T249" i="4"/>
  <c r="H250" i="4"/>
  <c r="I250" i="4"/>
  <c r="J250" i="4"/>
  <c r="R250" i="4"/>
  <c r="T250" i="4"/>
  <c r="H251" i="4"/>
  <c r="I251" i="4"/>
  <c r="J251" i="4"/>
  <c r="R251" i="4"/>
  <c r="T251" i="4"/>
  <c r="H252" i="4"/>
  <c r="I252" i="4"/>
  <c r="J252" i="4"/>
  <c r="R252" i="4"/>
  <c r="T252" i="4"/>
  <c r="H253" i="4"/>
  <c r="I253" i="4"/>
  <c r="J253" i="4"/>
  <c r="R253" i="4"/>
  <c r="T253" i="4"/>
  <c r="H254" i="4"/>
  <c r="I254" i="4"/>
  <c r="J254" i="4"/>
  <c r="R254" i="4"/>
  <c r="T254" i="4"/>
  <c r="H255" i="4"/>
  <c r="I255" i="4"/>
  <c r="J255" i="4"/>
  <c r="R255" i="4"/>
  <c r="T255" i="4"/>
  <c r="H256" i="4"/>
  <c r="I256" i="4"/>
  <c r="J256" i="4"/>
  <c r="R256" i="4"/>
  <c r="T256" i="4"/>
  <c r="H257" i="4"/>
  <c r="I257" i="4"/>
  <c r="J257" i="4"/>
  <c r="R257" i="4"/>
  <c r="T257" i="4"/>
  <c r="H258" i="4"/>
  <c r="I258" i="4"/>
  <c r="J258" i="4"/>
  <c r="R258" i="4"/>
  <c r="T258" i="4"/>
  <c r="H259" i="4"/>
  <c r="I259" i="4"/>
  <c r="J259" i="4"/>
  <c r="R259" i="4"/>
  <c r="T259" i="4"/>
  <c r="H260" i="4"/>
  <c r="I260" i="4"/>
  <c r="J260" i="4"/>
  <c r="R260" i="4"/>
  <c r="T260" i="4"/>
  <c r="H261" i="4"/>
  <c r="I261" i="4"/>
  <c r="J261" i="4"/>
  <c r="R261" i="4"/>
  <c r="T261" i="4"/>
  <c r="V771" i="4"/>
  <c r="V772" i="4"/>
  <c r="V773" i="4"/>
  <c r="V775" i="4"/>
  <c r="V776" i="4"/>
  <c r="V777" i="4"/>
  <c r="V778" i="4"/>
  <c r="V779" i="4"/>
  <c r="V780" i="4"/>
  <c r="V781" i="4"/>
  <c r="V782" i="4"/>
  <c r="V783" i="4"/>
  <c r="V784" i="4"/>
  <c r="V786" i="4"/>
  <c r="V787" i="4"/>
  <c r="V788" i="4"/>
  <c r="V789" i="4"/>
  <c r="V790" i="4"/>
  <c r="V791" i="4"/>
  <c r="V792" i="4"/>
  <c r="V793" i="4"/>
  <c r="V794" i="4"/>
  <c r="V795" i="4"/>
  <c r="V796" i="4"/>
  <c r="V797" i="4"/>
  <c r="V798" i="4"/>
  <c r="V799" i="4"/>
  <c r="V800" i="4"/>
  <c r="V801" i="4"/>
  <c r="V802" i="4"/>
  <c r="V803" i="4"/>
  <c r="V804" i="4"/>
  <c r="V805" i="4"/>
  <c r="V806" i="4"/>
  <c r="V807" i="4"/>
  <c r="V808" i="4"/>
  <c r="V809" i="4"/>
  <c r="V810" i="4"/>
  <c r="V811" i="4"/>
  <c r="V812" i="4"/>
  <c r="V813" i="4"/>
  <c r="V814" i="4"/>
  <c r="V815" i="4"/>
  <c r="V816" i="4"/>
  <c r="V817" i="4"/>
  <c r="V818" i="4"/>
  <c r="V819" i="4"/>
  <c r="V820" i="4"/>
  <c r="V821" i="4"/>
  <c r="V822" i="4"/>
  <c r="V823" i="4"/>
  <c r="V824" i="4"/>
  <c r="V825" i="4"/>
  <c r="V826" i="4"/>
  <c r="V827" i="4"/>
  <c r="V828" i="4"/>
  <c r="V829" i="4"/>
  <c r="V830" i="4"/>
  <c r="V831" i="4"/>
  <c r="V832" i="4"/>
  <c r="V833" i="4"/>
  <c r="V834" i="4"/>
  <c r="V835" i="4"/>
  <c r="V836" i="4"/>
  <c r="V837" i="4"/>
  <c r="V838" i="4"/>
  <c r="V839" i="4"/>
  <c r="V840" i="4"/>
  <c r="V841" i="4"/>
  <c r="V842" i="4"/>
  <c r="V843" i="4"/>
  <c r="V844" i="4"/>
  <c r="V845" i="4"/>
  <c r="V846" i="4"/>
  <c r="V847" i="4"/>
  <c r="V848" i="4"/>
  <c r="V849" i="4"/>
  <c r="V850" i="4"/>
  <c r="V851" i="4"/>
  <c r="V852" i="4"/>
  <c r="V853" i="4"/>
  <c r="V854" i="4"/>
  <c r="V855" i="4"/>
  <c r="V856" i="4"/>
  <c r="V857" i="4"/>
  <c r="V858" i="4"/>
  <c r="V859" i="4"/>
  <c r="V860" i="4"/>
  <c r="V861" i="4"/>
  <c r="V862" i="4"/>
  <c r="V863" i="4"/>
  <c r="V864" i="4"/>
  <c r="V865" i="4"/>
  <c r="V866" i="4"/>
  <c r="V867" i="4"/>
  <c r="V868" i="4"/>
  <c r="V869" i="4"/>
  <c r="V870" i="4"/>
  <c r="V871" i="4"/>
  <c r="V872" i="4"/>
  <c r="V873" i="4"/>
  <c r="V874" i="4"/>
  <c r="V875" i="4"/>
  <c r="V876" i="4"/>
  <c r="V877" i="4"/>
  <c r="V878" i="4"/>
  <c r="V879" i="4"/>
  <c r="V880" i="4"/>
  <c r="V881" i="4"/>
  <c r="V882" i="4"/>
  <c r="V883" i="4"/>
  <c r="V884" i="4"/>
  <c r="V885" i="4"/>
  <c r="V886" i="4"/>
  <c r="V887" i="4"/>
  <c r="V888" i="4"/>
  <c r="V889" i="4"/>
  <c r="V890" i="4"/>
  <c r="V891" i="4"/>
  <c r="V892" i="4"/>
  <c r="V893" i="4"/>
  <c r="V894" i="4"/>
  <c r="V895" i="4"/>
  <c r="V896" i="4"/>
  <c r="V897" i="4"/>
  <c r="V898" i="4"/>
  <c r="V899" i="4"/>
  <c r="V900" i="4"/>
  <c r="V901" i="4"/>
  <c r="V902" i="4"/>
  <c r="V903" i="4"/>
  <c r="V904" i="4"/>
  <c r="V905" i="4"/>
  <c r="V906" i="4"/>
  <c r="V907" i="4"/>
  <c r="V908" i="4"/>
  <c r="V909" i="4"/>
  <c r="V910" i="4"/>
  <c r="V911" i="4"/>
  <c r="V912" i="4"/>
  <c r="V913" i="4"/>
  <c r="V914" i="4"/>
  <c r="V915" i="4"/>
  <c r="V916" i="4"/>
  <c r="V917" i="4"/>
  <c r="V918" i="4"/>
  <c r="V919" i="4"/>
  <c r="V920" i="4"/>
  <c r="V921" i="4"/>
  <c r="V922" i="4"/>
  <c r="V923" i="4"/>
  <c r="V924" i="4"/>
  <c r="V925" i="4"/>
  <c r="V926" i="4"/>
  <c r="V927" i="4"/>
  <c r="V928" i="4"/>
  <c r="V929" i="4"/>
  <c r="V930" i="4"/>
  <c r="V931" i="4"/>
  <c r="V932" i="4"/>
  <c r="V933" i="4"/>
  <c r="V934" i="4"/>
  <c r="V935" i="4"/>
  <c r="V936" i="4"/>
  <c r="V937" i="4"/>
  <c r="V938" i="4"/>
  <c r="V939" i="4"/>
  <c r="V940" i="4"/>
  <c r="V941" i="4"/>
  <c r="V942" i="4"/>
  <c r="V943" i="4"/>
  <c r="V946" i="4"/>
  <c r="V947" i="4"/>
  <c r="V948" i="4"/>
  <c r="V949" i="4"/>
  <c r="V950" i="4"/>
  <c r="V951" i="4"/>
  <c r="V952" i="4"/>
  <c r="V953" i="4"/>
  <c r="V954" i="4"/>
  <c r="V955" i="4"/>
  <c r="V956" i="4"/>
  <c r="V957" i="4"/>
  <c r="V958" i="4"/>
  <c r="V960" i="4"/>
  <c r="V961" i="4"/>
  <c r="V962" i="4"/>
  <c r="V963" i="4"/>
  <c r="V964" i="4"/>
  <c r="V965" i="4"/>
  <c r="V966" i="4"/>
  <c r="V967" i="4"/>
  <c r="V968" i="4"/>
  <c r="V969" i="4"/>
  <c r="V970" i="4"/>
  <c r="V971" i="4"/>
  <c r="V972" i="4"/>
  <c r="V973" i="4"/>
  <c r="V974" i="4"/>
  <c r="V975" i="4"/>
  <c r="V976" i="4"/>
  <c r="V977" i="4"/>
  <c r="V978" i="4"/>
  <c r="V979" i="4"/>
  <c r="V980" i="4"/>
  <c r="V981" i="4"/>
  <c r="V982" i="4"/>
  <c r="V983" i="4"/>
  <c r="V984" i="4"/>
  <c r="V985" i="4"/>
  <c r="V986" i="4"/>
  <c r="V987" i="4"/>
  <c r="V988" i="4"/>
  <c r="V989" i="4"/>
  <c r="V990" i="4"/>
  <c r="V992" i="4"/>
  <c r="V993" i="4"/>
  <c r="V994" i="4"/>
  <c r="V995" i="4"/>
  <c r="V996" i="4"/>
  <c r="V997" i="4"/>
  <c r="V998" i="4"/>
  <c r="V999" i="4"/>
  <c r="V1000" i="4"/>
  <c r="V1001" i="4"/>
  <c r="V1002" i="4"/>
  <c r="V1003" i="4"/>
  <c r="V1004" i="4"/>
  <c r="V1005" i="4"/>
  <c r="V1006" i="4"/>
  <c r="V1007" i="4"/>
  <c r="V1008" i="4"/>
  <c r="V1009" i="4"/>
  <c r="V1010" i="4"/>
  <c r="V1011" i="4"/>
  <c r="V1012" i="4"/>
  <c r="V1013" i="4"/>
  <c r="V1014" i="4"/>
  <c r="V1015" i="4"/>
  <c r="V1016" i="4"/>
  <c r="V1017" i="4"/>
  <c r="V1018" i="4"/>
  <c r="V1019" i="4"/>
  <c r="V1020" i="4"/>
  <c r="V1021" i="4"/>
  <c r="V1022" i="4"/>
  <c r="V1023" i="4"/>
  <c r="V1024" i="4"/>
  <c r="V1025" i="4"/>
  <c r="V1026" i="4"/>
  <c r="V1027" i="4"/>
  <c r="V1028" i="4"/>
  <c r="V1029" i="4"/>
  <c r="V1030" i="4"/>
  <c r="V1031" i="4"/>
  <c r="V1032" i="4"/>
  <c r="V1033" i="4"/>
  <c r="V1034" i="4"/>
  <c r="V1035" i="4"/>
  <c r="V1036" i="4"/>
  <c r="V1037" i="4"/>
  <c r="V1038" i="4"/>
  <c r="V1039" i="4"/>
  <c r="V1040" i="4"/>
  <c r="V1041" i="4"/>
  <c r="V1042" i="4"/>
  <c r="V1043" i="4"/>
  <c r="V1044" i="4"/>
  <c r="V1045" i="4"/>
  <c r="V1046" i="4"/>
  <c r="V1047" i="4"/>
  <c r="V1048" i="4"/>
  <c r="V1049" i="4"/>
  <c r="V1050" i="4"/>
  <c r="V1051" i="4"/>
  <c r="H1053" i="4"/>
  <c r="I1053" i="4"/>
  <c r="J1053" i="4"/>
  <c r="V1053" i="4"/>
  <c r="G1054" i="4"/>
  <c r="H1054" i="4"/>
  <c r="I1054" i="4"/>
  <c r="J1054" i="4"/>
  <c r="V1054" i="4"/>
  <c r="G1055" i="4"/>
  <c r="H1055" i="4"/>
  <c r="I1055" i="4"/>
  <c r="J1055" i="4"/>
  <c r="V1055" i="4"/>
  <c r="G1056" i="4"/>
  <c r="H1056" i="4"/>
  <c r="I1056" i="4"/>
  <c r="J1056" i="4"/>
  <c r="V1056" i="4"/>
  <c r="G1057" i="4"/>
  <c r="H1057" i="4"/>
  <c r="I1057" i="4"/>
  <c r="J1057" i="4"/>
  <c r="V1057" i="4"/>
  <c r="G1058" i="4"/>
  <c r="H1058" i="4"/>
  <c r="I1058" i="4"/>
  <c r="J1058" i="4"/>
  <c r="V1058" i="4"/>
  <c r="G1059" i="4"/>
  <c r="H1059" i="4"/>
  <c r="I1059" i="4"/>
  <c r="J1059" i="4"/>
  <c r="V1059" i="4"/>
  <c r="G1060" i="4"/>
  <c r="H1060" i="4"/>
  <c r="I1060" i="4"/>
  <c r="J1060" i="4"/>
  <c r="V1060" i="4"/>
  <c r="G1061" i="4"/>
  <c r="H1061" i="4"/>
  <c r="I1061" i="4"/>
  <c r="J1061" i="4"/>
  <c r="V1061" i="4"/>
  <c r="G1062" i="4"/>
  <c r="H1062" i="4"/>
  <c r="I1062" i="4"/>
  <c r="J1062" i="4"/>
  <c r="V1062" i="4"/>
  <c r="G1063" i="4"/>
  <c r="H1063" i="4"/>
  <c r="I1063" i="4"/>
  <c r="J1063" i="4"/>
  <c r="V1063" i="4"/>
  <c r="G1064" i="4"/>
  <c r="H1064" i="4"/>
  <c r="I1064" i="4"/>
  <c r="J1064" i="4"/>
  <c r="V1064" i="4"/>
  <c r="F1362" i="4"/>
  <c r="F1363" i="4"/>
  <c r="F1364" i="4"/>
  <c r="F1365" i="4"/>
  <c r="F1366" i="4"/>
  <c r="F1367" i="4"/>
  <c r="F1368" i="4"/>
  <c r="F1369" i="4"/>
  <c r="F1370" i="4"/>
  <c r="F1371" i="4"/>
  <c r="F1372" i="4"/>
  <c r="F1373" i="4"/>
  <c r="T455" i="26" l="1"/>
  <c r="O568" i="26"/>
  <c r="J493" i="26"/>
  <c r="J507" i="26"/>
  <c r="J512" i="26"/>
  <c r="J364" i="26"/>
  <c r="C352" i="26"/>
  <c r="H351" i="26"/>
  <c r="J586" i="26"/>
  <c r="G522" i="26"/>
  <c r="J518" i="26"/>
  <c r="J522" i="26"/>
  <c r="J581" i="26"/>
  <c r="J34" i="26"/>
  <c r="J106" i="26"/>
  <c r="V113" i="26" s="1"/>
  <c r="F106" i="26"/>
  <c r="F107" i="26" s="1"/>
  <c r="F108" i="26" s="1"/>
  <c r="G106" i="26"/>
  <c r="E106" i="26"/>
  <c r="E107" i="26" s="1"/>
  <c r="E108" i="26" s="1"/>
  <c r="H106" i="26"/>
  <c r="H107" i="26" s="1"/>
  <c r="H108" i="26" s="1"/>
  <c r="F153" i="26"/>
  <c r="Q156" i="26" s="1"/>
  <c r="E153" i="26"/>
  <c r="H149" i="26"/>
  <c r="H153" i="26"/>
  <c r="J153" i="26"/>
  <c r="G149" i="26"/>
  <c r="J149" i="26"/>
  <c r="G153" i="26"/>
  <c r="J29" i="26"/>
  <c r="J212" i="26"/>
  <c r="J113" i="26"/>
  <c r="J217" i="26"/>
  <c r="J118" i="26"/>
  <c r="O190" i="26"/>
  <c r="J59" i="26"/>
  <c r="J48" i="26"/>
  <c r="J638" i="26"/>
  <c r="H592" i="26"/>
  <c r="H593" i="26" s="1"/>
  <c r="H594" i="26" s="1"/>
  <c r="J600" i="26"/>
  <c r="J601" i="26" s="1"/>
  <c r="J602" i="26" s="1"/>
  <c r="J603" i="26" s="1"/>
  <c r="F600" i="26"/>
  <c r="F601" i="26" s="1"/>
  <c r="F602" i="26" s="1"/>
  <c r="F603" i="26" s="1"/>
  <c r="G592" i="26"/>
  <c r="G593" i="26" s="1"/>
  <c r="G594" i="26" s="1"/>
  <c r="E600" i="26"/>
  <c r="E601" i="26" s="1"/>
  <c r="E602" i="26" s="1"/>
  <c r="E603" i="26" s="1"/>
  <c r="F592" i="26"/>
  <c r="F593" i="26" s="1"/>
  <c r="F594" i="26" s="1"/>
  <c r="J592" i="26"/>
  <c r="J593" i="26" s="1"/>
  <c r="J594" i="26" s="1"/>
  <c r="H600" i="26"/>
  <c r="H601" i="26" s="1"/>
  <c r="H602" i="26" s="1"/>
  <c r="H603" i="26" s="1"/>
  <c r="E592" i="26"/>
  <c r="E593" i="26" s="1"/>
  <c r="E594" i="26" s="1"/>
  <c r="G600" i="26"/>
  <c r="G601" i="26" s="1"/>
  <c r="G602" i="26" s="1"/>
  <c r="G603" i="26" s="1"/>
  <c r="J607" i="26"/>
  <c r="J98" i="26"/>
  <c r="J409" i="26"/>
  <c r="J404" i="26"/>
  <c r="E297" i="26"/>
  <c r="F297" i="26"/>
  <c r="J83" i="26"/>
  <c r="J66" i="26"/>
  <c r="H17" i="26"/>
  <c r="H18" i="26" s="1"/>
  <c r="H19" i="26" s="1"/>
  <c r="J297" i="26"/>
  <c r="J92" i="26"/>
  <c r="G297" i="26"/>
  <c r="J17" i="26"/>
  <c r="F17" i="26"/>
  <c r="F18" i="26" s="1"/>
  <c r="F19" i="26" s="1"/>
  <c r="G17" i="26"/>
  <c r="E17" i="26"/>
  <c r="E18" i="26" s="1"/>
  <c r="E19" i="26" s="1"/>
  <c r="G619" i="26"/>
  <c r="E301" i="26"/>
  <c r="G128" i="26"/>
  <c r="F128" i="26"/>
  <c r="Q131" i="26" s="1"/>
  <c r="E621" i="26"/>
  <c r="E227" i="26"/>
  <c r="G234" i="26" s="1"/>
  <c r="G235" i="26" s="1"/>
  <c r="G236" i="26" s="1"/>
  <c r="G237" i="26" s="1"/>
  <c r="G238" i="26" s="1"/>
  <c r="G239" i="26" s="1"/>
  <c r="G240" i="26" s="1"/>
  <c r="G241" i="26" s="1"/>
  <c r="G242" i="26" s="1"/>
  <c r="G243" i="26" s="1"/>
  <c r="G244" i="26" s="1"/>
  <c r="G245" i="26" s="1"/>
  <c r="G246" i="26" s="1"/>
  <c r="G247" i="26" s="1"/>
  <c r="G248" i="26" s="1"/>
  <c r="G249" i="26" s="1"/>
  <c r="G250" i="26" s="1"/>
  <c r="G251" i="26" s="1"/>
  <c r="G252" i="26" s="1"/>
  <c r="G253" i="26" s="1"/>
  <c r="G254" i="26" s="1"/>
  <c r="G255" i="26" s="1"/>
  <c r="G256" i="26" s="1"/>
  <c r="G257" i="26" s="1"/>
  <c r="G258" i="26" s="1"/>
  <c r="G259" i="26" s="1"/>
  <c r="G260" i="26" s="1"/>
  <c r="G261" i="26" s="1"/>
  <c r="G262" i="26" s="1"/>
  <c r="G263" i="26" s="1"/>
  <c r="G264" i="26" s="1"/>
  <c r="G265" i="26" s="1"/>
  <c r="G266" i="26" s="1"/>
  <c r="G267" i="26" s="1"/>
  <c r="G268" i="26" s="1"/>
  <c r="G269" i="26" s="1"/>
  <c r="G270" i="26" s="1"/>
  <c r="G271" i="26" s="1"/>
  <c r="G272" i="26" s="1"/>
  <c r="G273" i="26" s="1"/>
  <c r="G274" i="26" s="1"/>
  <c r="G275" i="26" s="1"/>
  <c r="G276" i="26" s="1"/>
  <c r="G277" i="26" s="1"/>
  <c r="G278" i="26" s="1"/>
  <c r="G279" i="26" s="1"/>
  <c r="G280" i="26" s="1"/>
  <c r="G281" i="26" s="1"/>
  <c r="G282" i="26" s="1"/>
  <c r="G283" i="26" s="1"/>
  <c r="G223" i="26"/>
  <c r="G615" i="26"/>
  <c r="J223" i="26"/>
  <c r="H227" i="26"/>
  <c r="H128" i="26"/>
  <c r="G301" i="26"/>
  <c r="E619" i="26"/>
  <c r="P622" i="26" s="1"/>
  <c r="G124" i="26"/>
  <c r="H619" i="26"/>
  <c r="J124" i="26"/>
  <c r="J619" i="26"/>
  <c r="J615" i="26"/>
  <c r="G227" i="26"/>
  <c r="F227" i="26"/>
  <c r="H234" i="26" s="1"/>
  <c r="H235" i="26" s="1"/>
  <c r="H236" i="26" s="1"/>
  <c r="H237" i="26" s="1"/>
  <c r="H238" i="26" s="1"/>
  <c r="H239" i="26" s="1"/>
  <c r="H240" i="26" s="1"/>
  <c r="H241" i="26" s="1"/>
  <c r="H242" i="26" s="1"/>
  <c r="H243" i="26" s="1"/>
  <c r="H244" i="26" s="1"/>
  <c r="H245" i="26" s="1"/>
  <c r="H246" i="26" s="1"/>
  <c r="H247" i="26" s="1"/>
  <c r="H248" i="26" s="1"/>
  <c r="H249" i="26" s="1"/>
  <c r="H250" i="26" s="1"/>
  <c r="H251" i="26" s="1"/>
  <c r="H252" i="26" s="1"/>
  <c r="H253" i="26" s="1"/>
  <c r="H254" i="26" s="1"/>
  <c r="H255" i="26" s="1"/>
  <c r="H256" i="26" s="1"/>
  <c r="H257" i="26" s="1"/>
  <c r="H258" i="26" s="1"/>
  <c r="H259" i="26" s="1"/>
  <c r="H260" i="26" s="1"/>
  <c r="H261" i="26" s="1"/>
  <c r="H262" i="26" s="1"/>
  <c r="H263" i="26" s="1"/>
  <c r="H264" i="26" s="1"/>
  <c r="H265" i="26" s="1"/>
  <c r="H266" i="26" s="1"/>
  <c r="H267" i="26" s="1"/>
  <c r="H268" i="26" s="1"/>
  <c r="H269" i="26" s="1"/>
  <c r="H270" i="26" s="1"/>
  <c r="H271" i="26" s="1"/>
  <c r="H272" i="26" s="1"/>
  <c r="H273" i="26" s="1"/>
  <c r="H274" i="26" s="1"/>
  <c r="H275" i="26" s="1"/>
  <c r="H276" i="26" s="1"/>
  <c r="H277" i="26" s="1"/>
  <c r="H278" i="26" s="1"/>
  <c r="H279" i="26" s="1"/>
  <c r="H280" i="26" s="1"/>
  <c r="H281" i="26" s="1"/>
  <c r="H282" i="26" s="1"/>
  <c r="H283" i="26" s="1"/>
  <c r="J128" i="26"/>
  <c r="E128" i="26"/>
  <c r="P131" i="26" s="1"/>
  <c r="F619" i="26"/>
  <c r="Q622" i="26" s="1"/>
  <c r="J227" i="26"/>
  <c r="H301" i="26"/>
  <c r="F301" i="26"/>
  <c r="H615" i="26"/>
  <c r="J301" i="26"/>
  <c r="E622" i="26"/>
  <c r="E305" i="26"/>
  <c r="H305" i="26"/>
  <c r="G305" i="26"/>
  <c r="F305" i="26"/>
  <c r="J305" i="26"/>
  <c r="J24" i="26"/>
  <c r="J291" i="26"/>
  <c r="J143" i="26"/>
  <c r="J75" i="26"/>
  <c r="J286" i="26"/>
  <c r="J138" i="26"/>
  <c r="H309" i="26"/>
  <c r="J627" i="26"/>
  <c r="J632" i="26"/>
  <c r="J309" i="26"/>
  <c r="G309" i="26"/>
  <c r="J40" i="26"/>
  <c r="F309" i="26"/>
  <c r="E309" i="26"/>
  <c r="E313" i="26"/>
  <c r="G313" i="26"/>
  <c r="J313" i="26"/>
  <c r="H313" i="26"/>
  <c r="F313" i="26"/>
  <c r="H317" i="26"/>
  <c r="E317" i="26"/>
  <c r="G317" i="26"/>
  <c r="J87" i="26"/>
  <c r="J317" i="26"/>
  <c r="F317" i="26"/>
  <c r="J321" i="26"/>
  <c r="E321" i="26"/>
  <c r="F321" i="26"/>
  <c r="H321" i="26"/>
  <c r="G321" i="26"/>
  <c r="H325" i="26"/>
  <c r="J325" i="26"/>
  <c r="G325" i="26"/>
  <c r="F325" i="26"/>
  <c r="E325" i="26"/>
  <c r="G329" i="26"/>
  <c r="E329" i="26"/>
  <c r="F329" i="26"/>
  <c r="H329" i="26"/>
  <c r="J329" i="26"/>
  <c r="Q365" i="26"/>
  <c r="K364" i="26"/>
  <c r="M365" i="26"/>
  <c r="G364" i="26"/>
  <c r="I365" i="26"/>
  <c r="H365" i="26"/>
  <c r="G333" i="26"/>
  <c r="H333" i="26"/>
  <c r="J333" i="26"/>
  <c r="F333" i="26"/>
  <c r="E333" i="26"/>
  <c r="A1" i="26"/>
  <c r="P156" i="26" l="1"/>
  <c r="H223" i="26"/>
  <c r="I234" i="26" s="1"/>
  <c r="I235" i="26" s="1"/>
  <c r="I236" i="26" s="1"/>
  <c r="I237" i="26" s="1"/>
  <c r="I238" i="26" s="1"/>
  <c r="I239" i="26" s="1"/>
  <c r="I240" i="26" s="1"/>
  <c r="I241" i="26" s="1"/>
  <c r="I242" i="26" s="1"/>
  <c r="I243" i="26" s="1"/>
  <c r="I244" i="26" s="1"/>
  <c r="I245" i="26" s="1"/>
  <c r="I246" i="26" s="1"/>
  <c r="I247" i="26" s="1"/>
  <c r="I248" i="26" s="1"/>
  <c r="I249" i="26" s="1"/>
  <c r="I250" i="26" s="1"/>
  <c r="I251" i="26" s="1"/>
  <c r="I252" i="26" s="1"/>
  <c r="I253" i="26" s="1"/>
  <c r="I254" i="26" s="1"/>
  <c r="I255" i="26" s="1"/>
  <c r="I256" i="26" s="1"/>
  <c r="I257" i="26" s="1"/>
  <c r="I258" i="26" s="1"/>
  <c r="I259" i="26" s="1"/>
  <c r="I260" i="26" s="1"/>
  <c r="I261" i="26" s="1"/>
  <c r="I262" i="26" s="1"/>
  <c r="I263" i="26" s="1"/>
  <c r="I264" i="26" s="1"/>
  <c r="I265" i="26" s="1"/>
  <c r="I266" i="26" s="1"/>
  <c r="I267" i="26" s="1"/>
  <c r="I268" i="26" s="1"/>
  <c r="I269" i="26" s="1"/>
  <c r="I270" i="26" s="1"/>
  <c r="I271" i="26" s="1"/>
  <c r="I272" i="26" s="1"/>
  <c r="I273" i="26" s="1"/>
  <c r="I274" i="26" s="1"/>
  <c r="I275" i="26" s="1"/>
  <c r="I276" i="26" s="1"/>
  <c r="I277" i="26" s="1"/>
  <c r="I278" i="26" s="1"/>
  <c r="I279" i="26" s="1"/>
  <c r="I280" i="26" s="1"/>
  <c r="I281" i="26" s="1"/>
  <c r="I282" i="26" s="1"/>
  <c r="I283" i="26" s="1"/>
  <c r="L456" i="26"/>
  <c r="S455" i="26"/>
  <c r="U455" i="26" s="1"/>
  <c r="O569" i="26"/>
  <c r="V627" i="26"/>
  <c r="V581" i="26"/>
  <c r="J351" i="26"/>
  <c r="J352" i="26"/>
  <c r="J353" i="26"/>
  <c r="J354" i="26"/>
  <c r="J355" i="26"/>
  <c r="J356" i="26"/>
  <c r="J357" i="26"/>
  <c r="J358" i="26"/>
  <c r="J359" i="26"/>
  <c r="J360" i="26"/>
  <c r="J361" i="26"/>
  <c r="J362" i="26"/>
  <c r="J363" i="26"/>
  <c r="K351" i="26"/>
  <c r="K352" i="26"/>
  <c r="K353" i="26"/>
  <c r="K354" i="26"/>
  <c r="K355" i="26"/>
  <c r="K356" i="26"/>
  <c r="K357" i="26"/>
  <c r="K358" i="26"/>
  <c r="K359" i="26"/>
  <c r="K360" i="26"/>
  <c r="K361" i="26"/>
  <c r="K362" i="26"/>
  <c r="K363" i="26"/>
  <c r="L339" i="26"/>
  <c r="C353" i="26"/>
  <c r="D353" i="26" s="1"/>
  <c r="L353" i="26" s="1"/>
  <c r="D352" i="26"/>
  <c r="L352" i="26" s="1"/>
  <c r="D351" i="26"/>
  <c r="L351" i="26" s="1"/>
  <c r="N346" i="26"/>
  <c r="N365" i="26" s="1"/>
  <c r="I351" i="26"/>
  <c r="L340" i="26"/>
  <c r="F149" i="26"/>
  <c r="O156" i="26" s="1"/>
  <c r="F109" i="26"/>
  <c r="F110" i="26"/>
  <c r="E149" i="26"/>
  <c r="J107" i="26"/>
  <c r="J108" i="26" s="1"/>
  <c r="H109" i="26"/>
  <c r="H110" i="26"/>
  <c r="E109" i="26"/>
  <c r="E110" i="26"/>
  <c r="G107" i="26"/>
  <c r="G108" i="26" s="1"/>
  <c r="R118" i="26"/>
  <c r="T118" i="26" s="1"/>
  <c r="V118" i="26" s="1"/>
  <c r="O191" i="26"/>
  <c r="E223" i="26"/>
  <c r="R409" i="26"/>
  <c r="T409" i="26" s="1"/>
  <c r="J595" i="26"/>
  <c r="J596" i="26"/>
  <c r="F223" i="26"/>
  <c r="F234" i="26" s="1"/>
  <c r="G18" i="26"/>
  <c r="G19" i="26" s="1"/>
  <c r="T603" i="26"/>
  <c r="V603" i="26" s="1"/>
  <c r="F595" i="26"/>
  <c r="F596" i="26"/>
  <c r="F124" i="26"/>
  <c r="O131" i="26" s="1"/>
  <c r="E21" i="26"/>
  <c r="E20" i="26"/>
  <c r="F20" i="26"/>
  <c r="F21" i="26"/>
  <c r="H21" i="26"/>
  <c r="H20" i="26"/>
  <c r="E596" i="26"/>
  <c r="E595" i="26"/>
  <c r="F615" i="26"/>
  <c r="O622" i="26" s="1"/>
  <c r="E615" i="26"/>
  <c r="N622" i="26" s="1"/>
  <c r="J18" i="26"/>
  <c r="J19" i="26" s="1"/>
  <c r="G595" i="26"/>
  <c r="G596" i="26"/>
  <c r="H596" i="26"/>
  <c r="H595" i="26"/>
  <c r="H366" i="26"/>
  <c r="I366" i="26"/>
  <c r="Q366" i="26"/>
  <c r="K365" i="26"/>
  <c r="J365" i="26"/>
  <c r="M366" i="26"/>
  <c r="G365" i="26"/>
  <c r="H522" i="26" l="1"/>
  <c r="F522" i="26"/>
  <c r="F529" i="26" s="1"/>
  <c r="E522" i="26"/>
  <c r="E529" i="26" s="1"/>
  <c r="E530" i="26" s="1"/>
  <c r="E531" i="26" s="1"/>
  <c r="E532" i="26" s="1"/>
  <c r="E533" i="26" s="1"/>
  <c r="E534" i="26" s="1"/>
  <c r="E535" i="26" s="1"/>
  <c r="E536" i="26" s="1"/>
  <c r="E537" i="26" s="1"/>
  <c r="E538" i="26" s="1"/>
  <c r="E539" i="26" s="1"/>
  <c r="E540" i="26" s="1"/>
  <c r="E541" i="26" s="1"/>
  <c r="E542" i="26" s="1"/>
  <c r="E543" i="26" s="1"/>
  <c r="E544" i="26" s="1"/>
  <c r="E545" i="26" s="1"/>
  <c r="E546" i="26" s="1"/>
  <c r="E547" i="26" s="1"/>
  <c r="E548" i="26" s="1"/>
  <c r="E549" i="26" s="1"/>
  <c r="E550" i="26" s="1"/>
  <c r="E551" i="26" s="1"/>
  <c r="E552" i="26" s="1"/>
  <c r="E553" i="26" s="1"/>
  <c r="E554" i="26" s="1"/>
  <c r="E555" i="26" s="1"/>
  <c r="E556" i="26" s="1"/>
  <c r="E557" i="26" s="1"/>
  <c r="E558" i="26" s="1"/>
  <c r="E559" i="26" s="1"/>
  <c r="E560" i="26" s="1"/>
  <c r="E561" i="26" s="1"/>
  <c r="E562" i="26" s="1"/>
  <c r="E563" i="26" s="1"/>
  <c r="E564" i="26" s="1"/>
  <c r="E565" i="26" s="1"/>
  <c r="E566" i="26" s="1"/>
  <c r="E567" i="26" s="1"/>
  <c r="E568" i="26" s="1"/>
  <c r="E569" i="26" s="1"/>
  <c r="E570" i="26" s="1"/>
  <c r="E571" i="26" s="1"/>
  <c r="E572" i="26" s="1"/>
  <c r="E573" i="26" s="1"/>
  <c r="E574" i="26" s="1"/>
  <c r="E575" i="26" s="1"/>
  <c r="E576" i="26" s="1"/>
  <c r="E577" i="26" s="1"/>
  <c r="E578" i="26" s="1"/>
  <c r="O500" i="26"/>
  <c r="N355" i="26"/>
  <c r="T355" i="26" s="1"/>
  <c r="N351" i="26"/>
  <c r="N354" i="26"/>
  <c r="T354" i="26" s="1"/>
  <c r="N352" i="26"/>
  <c r="N353" i="26"/>
  <c r="T353" i="26" s="1"/>
  <c r="N356" i="26"/>
  <c r="T356" i="26" s="1"/>
  <c r="N357" i="26"/>
  <c r="T357" i="26" s="1"/>
  <c r="N358" i="26"/>
  <c r="T358" i="26" s="1"/>
  <c r="N359" i="26"/>
  <c r="T359" i="26" s="1"/>
  <c r="N360" i="26"/>
  <c r="T360" i="26" s="1"/>
  <c r="N361" i="26"/>
  <c r="T361" i="26" s="1"/>
  <c r="N362" i="26"/>
  <c r="T362" i="26" s="1"/>
  <c r="N363" i="26"/>
  <c r="T363" i="26" s="1"/>
  <c r="N364" i="26"/>
  <c r="T364" i="26" s="1"/>
  <c r="E234" i="26"/>
  <c r="L234" i="26" s="1"/>
  <c r="N156" i="26"/>
  <c r="H156" i="26" s="1"/>
  <c r="H159" i="26" s="1"/>
  <c r="C235" i="26"/>
  <c r="C236" i="26" s="1"/>
  <c r="O570" i="26"/>
  <c r="N131" i="26"/>
  <c r="H131" i="26" s="1"/>
  <c r="R512" i="26"/>
  <c r="T512" i="26" s="1"/>
  <c r="C354" i="26"/>
  <c r="R586" i="26"/>
  <c r="T586" i="26" s="1"/>
  <c r="V586" i="26" s="1"/>
  <c r="G109" i="26"/>
  <c r="G110" i="26"/>
  <c r="J110" i="26"/>
  <c r="J109" i="26"/>
  <c r="R217" i="26"/>
  <c r="T217" i="26" s="1"/>
  <c r="O192" i="26"/>
  <c r="R143" i="26"/>
  <c r="R291" i="26"/>
  <c r="T291" i="26" s="1"/>
  <c r="J20" i="26"/>
  <c r="J21" i="26"/>
  <c r="H622" i="26"/>
  <c r="G20" i="26"/>
  <c r="G21" i="26"/>
  <c r="F235" i="26"/>
  <c r="R632" i="26"/>
  <c r="T632" i="26" s="1"/>
  <c r="Q367" i="26"/>
  <c r="J366" i="26"/>
  <c r="K366" i="26"/>
  <c r="T365" i="26"/>
  <c r="I367" i="26"/>
  <c r="H367" i="26"/>
  <c r="M367" i="26"/>
  <c r="N366" i="26"/>
  <c r="G366" i="26"/>
  <c r="G529" i="26" l="1"/>
  <c r="G530" i="26" s="1"/>
  <c r="V518" i="26"/>
  <c r="K529" i="26"/>
  <c r="P529" i="26" s="1"/>
  <c r="E353" i="26"/>
  <c r="F353" i="26" s="1"/>
  <c r="P353" i="26" s="1"/>
  <c r="U353" i="26" s="1"/>
  <c r="F530" i="26"/>
  <c r="F531" i="26" s="1"/>
  <c r="F532" i="26" s="1"/>
  <c r="F533" i="26" s="1"/>
  <c r="F534" i="26" s="1"/>
  <c r="F535" i="26" s="1"/>
  <c r="F536" i="26" s="1"/>
  <c r="F537" i="26" s="1"/>
  <c r="F538" i="26" s="1"/>
  <c r="F539" i="26" s="1"/>
  <c r="F540" i="26" s="1"/>
  <c r="F541" i="26" s="1"/>
  <c r="F542" i="26" s="1"/>
  <c r="F543" i="26" s="1"/>
  <c r="F544" i="26" s="1"/>
  <c r="F545" i="26" s="1"/>
  <c r="F546" i="26" s="1"/>
  <c r="F547" i="26" s="1"/>
  <c r="F548" i="26" s="1"/>
  <c r="F549" i="26" s="1"/>
  <c r="F550" i="26" s="1"/>
  <c r="F551" i="26" s="1"/>
  <c r="F552" i="26" s="1"/>
  <c r="F553" i="26" s="1"/>
  <c r="F554" i="26" s="1"/>
  <c r="F555" i="26" s="1"/>
  <c r="F556" i="26" s="1"/>
  <c r="F557" i="26" s="1"/>
  <c r="F558" i="26" s="1"/>
  <c r="F559" i="26" s="1"/>
  <c r="F560" i="26" s="1"/>
  <c r="F561" i="26" s="1"/>
  <c r="F562" i="26" s="1"/>
  <c r="F563" i="26" s="1"/>
  <c r="F564" i="26" s="1"/>
  <c r="F565" i="26" s="1"/>
  <c r="F566" i="26" s="1"/>
  <c r="F567" i="26" s="1"/>
  <c r="F568" i="26" s="1"/>
  <c r="F569" i="26" s="1"/>
  <c r="F570" i="26" s="1"/>
  <c r="F571" i="26" s="1"/>
  <c r="F572" i="26" s="1"/>
  <c r="F573" i="26" s="1"/>
  <c r="F574" i="26" s="1"/>
  <c r="F575" i="26" s="1"/>
  <c r="F576" i="26" s="1"/>
  <c r="F577" i="26" s="1"/>
  <c r="F578" i="26" s="1"/>
  <c r="N500" i="26"/>
  <c r="H500" i="26"/>
  <c r="U503" i="26" s="1"/>
  <c r="E235" i="26"/>
  <c r="E236" i="26" s="1"/>
  <c r="E237" i="26" s="1"/>
  <c r="T352" i="26"/>
  <c r="E352" i="26"/>
  <c r="F352" i="26" s="1"/>
  <c r="P352" i="26" s="1"/>
  <c r="U352" i="26" s="1"/>
  <c r="E351" i="26"/>
  <c r="F351" i="26" s="1"/>
  <c r="P351" i="26" s="1"/>
  <c r="U351" i="26" s="1"/>
  <c r="T351" i="26"/>
  <c r="L457" i="26"/>
  <c r="T456" i="26"/>
  <c r="V21" i="26"/>
  <c r="V20" i="26"/>
  <c r="O571" i="26"/>
  <c r="C237" i="26"/>
  <c r="H160" i="26"/>
  <c r="I131" i="26"/>
  <c r="P134" i="26" s="1"/>
  <c r="V124" i="26" s="1"/>
  <c r="W124" i="26" s="1"/>
  <c r="I156" i="26"/>
  <c r="I159" i="26" s="1"/>
  <c r="P159" i="26" s="1"/>
  <c r="W17" i="26"/>
  <c r="T34" i="26" s="1"/>
  <c r="V34" i="26" s="1"/>
  <c r="W34" i="26" s="1"/>
  <c r="C355" i="26"/>
  <c r="E354" i="26"/>
  <c r="F354" i="26" s="1"/>
  <c r="P354" i="26" s="1"/>
  <c r="D354" i="26"/>
  <c r="L354" i="26" s="1"/>
  <c r="R156" i="26"/>
  <c r="F236" i="26"/>
  <c r="F237" i="26" s="1"/>
  <c r="O193" i="26"/>
  <c r="R131" i="26"/>
  <c r="M234" i="26"/>
  <c r="I622" i="26"/>
  <c r="I623" i="26" s="1"/>
  <c r="S622" i="26" s="1"/>
  <c r="V619" i="26" s="1"/>
  <c r="T366" i="26"/>
  <c r="I368" i="26"/>
  <c r="H368" i="26"/>
  <c r="M368" i="26"/>
  <c r="N367" i="26"/>
  <c r="G367" i="26"/>
  <c r="Q368" i="26"/>
  <c r="K367" i="26"/>
  <c r="J367" i="26"/>
  <c r="G531" i="26" l="1"/>
  <c r="G532" i="26" s="1"/>
  <c r="G533" i="26" s="1"/>
  <c r="G534" i="26" s="1"/>
  <c r="G535" i="26" s="1"/>
  <c r="G536" i="26" s="1"/>
  <c r="G537" i="26" s="1"/>
  <c r="G538" i="26" s="1"/>
  <c r="G539" i="26" s="1"/>
  <c r="G540" i="26" s="1"/>
  <c r="G541" i="26" s="1"/>
  <c r="G542" i="26" s="1"/>
  <c r="G543" i="26" s="1"/>
  <c r="G544" i="26" s="1"/>
  <c r="G545" i="26" s="1"/>
  <c r="G546" i="26" s="1"/>
  <c r="G547" i="26" s="1"/>
  <c r="G548" i="26" s="1"/>
  <c r="G549" i="26" s="1"/>
  <c r="G550" i="26" s="1"/>
  <c r="G551" i="26" s="1"/>
  <c r="G552" i="26" s="1"/>
  <c r="G553" i="26" s="1"/>
  <c r="G554" i="26" s="1"/>
  <c r="G555" i="26" s="1"/>
  <c r="G556" i="26" s="1"/>
  <c r="G557" i="26" s="1"/>
  <c r="G558" i="26" s="1"/>
  <c r="G559" i="26" s="1"/>
  <c r="G560" i="26" s="1"/>
  <c r="G561" i="26" s="1"/>
  <c r="G562" i="26" s="1"/>
  <c r="G563" i="26" s="1"/>
  <c r="G564" i="26" s="1"/>
  <c r="G565" i="26" s="1"/>
  <c r="G566" i="26" s="1"/>
  <c r="G567" i="26" s="1"/>
  <c r="G568" i="26" s="1"/>
  <c r="G569" i="26" s="1"/>
  <c r="G570" i="26" s="1"/>
  <c r="G571" i="26" s="1"/>
  <c r="G572" i="26" s="1"/>
  <c r="G573" i="26" s="1"/>
  <c r="G574" i="26" s="1"/>
  <c r="G575" i="26" s="1"/>
  <c r="G576" i="26" s="1"/>
  <c r="G577" i="26" s="1"/>
  <c r="G578" i="26" s="1"/>
  <c r="C530" i="26"/>
  <c r="S529" i="26"/>
  <c r="T529" i="26"/>
  <c r="R353" i="26"/>
  <c r="V353" i="26" s="1"/>
  <c r="R351" i="26"/>
  <c r="V351" i="26" s="1"/>
  <c r="L235" i="26"/>
  <c r="M235" i="26" s="1"/>
  <c r="Q235" i="26" s="1"/>
  <c r="R500" i="26"/>
  <c r="T503" i="26"/>
  <c r="R352" i="26"/>
  <c r="V352" i="26" s="1"/>
  <c r="S456" i="26"/>
  <c r="U456" i="26" s="1"/>
  <c r="L236" i="26"/>
  <c r="M236" i="26" s="1"/>
  <c r="O572" i="26"/>
  <c r="C238" i="26"/>
  <c r="L237" i="26"/>
  <c r="M237" i="26" s="1"/>
  <c r="Q234" i="26"/>
  <c r="Q159" i="26"/>
  <c r="I160" i="26"/>
  <c r="P160" i="26" s="1"/>
  <c r="H161" i="26"/>
  <c r="S131" i="26"/>
  <c r="Q134" i="26"/>
  <c r="S156" i="26"/>
  <c r="P234" i="26"/>
  <c r="C356" i="26"/>
  <c r="E355" i="26"/>
  <c r="F355" i="26" s="1"/>
  <c r="P355" i="26" s="1"/>
  <c r="D355" i="26"/>
  <c r="L355" i="26" s="1"/>
  <c r="R354" i="26"/>
  <c r="V354" i="26" s="1"/>
  <c r="U354" i="26"/>
  <c r="U512" i="26"/>
  <c r="V512" i="26" s="1"/>
  <c r="T24" i="26"/>
  <c r="T29" i="26"/>
  <c r="O194" i="26"/>
  <c r="H623" i="26"/>
  <c r="R622" i="26" s="1"/>
  <c r="V615" i="26" s="1"/>
  <c r="F238" i="26"/>
  <c r="E238" i="26"/>
  <c r="Q369" i="26"/>
  <c r="K368" i="26"/>
  <c r="J368" i="26"/>
  <c r="T367" i="26"/>
  <c r="M369" i="26"/>
  <c r="N368" i="26"/>
  <c r="G368" i="26"/>
  <c r="I369" i="26"/>
  <c r="H369" i="26"/>
  <c r="T194" i="4"/>
  <c r="K530" i="26" l="1"/>
  <c r="P530" i="26" s="1"/>
  <c r="C531" i="26"/>
  <c r="C532" i="26" s="1"/>
  <c r="C533" i="26" s="1"/>
  <c r="C534" i="26" s="1"/>
  <c r="C535" i="26" s="1"/>
  <c r="C536" i="26" s="1"/>
  <c r="C537" i="26" s="1"/>
  <c r="C538" i="26" s="1"/>
  <c r="C539" i="26" s="1"/>
  <c r="C540" i="26" s="1"/>
  <c r="C541" i="26" s="1"/>
  <c r="C542" i="26" s="1"/>
  <c r="C543" i="26" s="1"/>
  <c r="C544" i="26" s="1"/>
  <c r="C545" i="26" s="1"/>
  <c r="C546" i="26" s="1"/>
  <c r="C547" i="26" s="1"/>
  <c r="C548" i="26" s="1"/>
  <c r="C549" i="26" s="1"/>
  <c r="C550" i="26" s="1"/>
  <c r="C551" i="26" s="1"/>
  <c r="C552" i="26" s="1"/>
  <c r="C553" i="26" s="1"/>
  <c r="C554" i="26" s="1"/>
  <c r="C555" i="26" s="1"/>
  <c r="C556" i="26" s="1"/>
  <c r="C557" i="26" s="1"/>
  <c r="C558" i="26" s="1"/>
  <c r="C559" i="26" s="1"/>
  <c r="C560" i="26" s="1"/>
  <c r="C561" i="26" s="1"/>
  <c r="C562" i="26" s="1"/>
  <c r="C563" i="26" s="1"/>
  <c r="C564" i="26" s="1"/>
  <c r="C565" i="26" s="1"/>
  <c r="C566" i="26" s="1"/>
  <c r="C567" i="26" s="1"/>
  <c r="C568" i="26" s="1"/>
  <c r="C569" i="26" s="1"/>
  <c r="C570" i="26" s="1"/>
  <c r="C571" i="26" s="1"/>
  <c r="C572" i="26" s="1"/>
  <c r="C573" i="26" s="1"/>
  <c r="C574" i="26" s="1"/>
  <c r="C575" i="26" s="1"/>
  <c r="C576" i="26" s="1"/>
  <c r="C577" i="26" s="1"/>
  <c r="C578" i="26" s="1"/>
  <c r="W128" i="26"/>
  <c r="U143" i="26" s="1"/>
  <c r="V128" i="26"/>
  <c r="P503" i="26"/>
  <c r="V493" i="26" s="1"/>
  <c r="L458" i="26"/>
  <c r="T457" i="26"/>
  <c r="S234" i="26"/>
  <c r="T234" i="26"/>
  <c r="O573" i="26"/>
  <c r="C239" i="26"/>
  <c r="L238" i="26"/>
  <c r="H162" i="26"/>
  <c r="I161" i="26"/>
  <c r="Q160" i="26"/>
  <c r="P235" i="26"/>
  <c r="V223" i="26" s="1"/>
  <c r="R355" i="26"/>
  <c r="V355" i="26" s="1"/>
  <c r="U355" i="26"/>
  <c r="C357" i="26"/>
  <c r="E356" i="26"/>
  <c r="F356" i="26" s="1"/>
  <c r="P356" i="26" s="1"/>
  <c r="D356" i="26"/>
  <c r="L356" i="26" s="1"/>
  <c r="V24" i="26"/>
  <c r="V29" i="26"/>
  <c r="W29" i="26" s="1"/>
  <c r="O195" i="26"/>
  <c r="T196" i="4"/>
  <c r="Q237" i="26"/>
  <c r="E239" i="26"/>
  <c r="U632" i="26"/>
  <c r="V632" i="26" s="1"/>
  <c r="F239" i="26"/>
  <c r="H370" i="26"/>
  <c r="I370" i="26"/>
  <c r="T368" i="26"/>
  <c r="M370" i="26"/>
  <c r="N369" i="26"/>
  <c r="G369" i="26"/>
  <c r="Q370" i="26"/>
  <c r="J369" i="26"/>
  <c r="K369" i="26"/>
  <c r="T197" i="4"/>
  <c r="V507" i="26" l="1"/>
  <c r="V138" i="26"/>
  <c r="S457" i="26"/>
  <c r="U457" i="26" s="1"/>
  <c r="O574" i="26"/>
  <c r="S235" i="26"/>
  <c r="T235" i="26"/>
  <c r="M238" i="26"/>
  <c r="Q238" i="26" s="1"/>
  <c r="C240" i="26"/>
  <c r="L239" i="26"/>
  <c r="H163" i="26"/>
  <c r="I162" i="26"/>
  <c r="Q161" i="26"/>
  <c r="P161" i="26"/>
  <c r="Q236" i="26"/>
  <c r="P237" i="26"/>
  <c r="P236" i="26"/>
  <c r="R356" i="26"/>
  <c r="V356" i="26" s="1"/>
  <c r="U356" i="26"/>
  <c r="C358" i="26"/>
  <c r="E357" i="26"/>
  <c r="F357" i="26" s="1"/>
  <c r="P357" i="26" s="1"/>
  <c r="D357" i="26"/>
  <c r="L357" i="26" s="1"/>
  <c r="O196" i="26"/>
  <c r="E240" i="26"/>
  <c r="F240" i="26"/>
  <c r="T369" i="26"/>
  <c r="H371" i="26"/>
  <c r="I371" i="26"/>
  <c r="Q371" i="26"/>
  <c r="J370" i="26"/>
  <c r="K370" i="26"/>
  <c r="M371" i="26"/>
  <c r="M372" i="26" s="1"/>
  <c r="N370" i="26"/>
  <c r="G370" i="26"/>
  <c r="T198" i="4"/>
  <c r="L459" i="26" l="1"/>
  <c r="T458" i="26"/>
  <c r="T236" i="26"/>
  <c r="O575" i="26"/>
  <c r="M239" i="26"/>
  <c r="Q239" i="26" s="1"/>
  <c r="C241" i="26"/>
  <c r="L240" i="26"/>
  <c r="S237" i="26"/>
  <c r="T237" i="26"/>
  <c r="I163" i="26"/>
  <c r="P163" i="26" s="1"/>
  <c r="Q162" i="26"/>
  <c r="H164" i="26"/>
  <c r="S236" i="26"/>
  <c r="P162" i="26"/>
  <c r="P238" i="26"/>
  <c r="S238" i="26" s="1"/>
  <c r="C359" i="26"/>
  <c r="E358" i="26"/>
  <c r="F358" i="26" s="1"/>
  <c r="P358" i="26" s="1"/>
  <c r="D358" i="26"/>
  <c r="L358" i="26" s="1"/>
  <c r="R357" i="26"/>
  <c r="V357" i="26" s="1"/>
  <c r="U357" i="26"/>
  <c r="O197" i="26"/>
  <c r="F241" i="26"/>
  <c r="E241" i="26"/>
  <c r="T370" i="26"/>
  <c r="Q372" i="26"/>
  <c r="K371" i="26"/>
  <c r="J371" i="26"/>
  <c r="G371" i="26"/>
  <c r="N371" i="26"/>
  <c r="I372" i="26"/>
  <c r="H372" i="26"/>
  <c r="T199" i="4"/>
  <c r="T459" i="26" l="1"/>
  <c r="S458" i="26"/>
  <c r="U458" i="26" s="1"/>
  <c r="O576" i="26"/>
  <c r="M240" i="26"/>
  <c r="Q240" i="26" s="1"/>
  <c r="C242" i="26"/>
  <c r="L241" i="26"/>
  <c r="M241" i="26" s="1"/>
  <c r="T238" i="26"/>
  <c r="I164" i="26"/>
  <c r="Q163" i="26"/>
  <c r="H165" i="26"/>
  <c r="P239" i="26"/>
  <c r="R358" i="26"/>
  <c r="V358" i="26" s="1"/>
  <c r="U358" i="26"/>
  <c r="C360" i="26"/>
  <c r="E359" i="26"/>
  <c r="F359" i="26" s="1"/>
  <c r="P359" i="26" s="1"/>
  <c r="D359" i="26"/>
  <c r="L359" i="26" s="1"/>
  <c r="O198" i="26"/>
  <c r="E242" i="26"/>
  <c r="F242" i="26"/>
  <c r="I373" i="26"/>
  <c r="H373" i="26"/>
  <c r="T371" i="26"/>
  <c r="M373" i="26"/>
  <c r="G372" i="26"/>
  <c r="N372" i="26"/>
  <c r="Q373" i="26"/>
  <c r="K372" i="26"/>
  <c r="J372" i="26"/>
  <c r="T200" i="4"/>
  <c r="L460" i="26" l="1"/>
  <c r="S459" i="26"/>
  <c r="U459" i="26" s="1"/>
  <c r="O577" i="26"/>
  <c r="C243" i="26"/>
  <c r="L242" i="26"/>
  <c r="M242" i="26" s="1"/>
  <c r="S239" i="26"/>
  <c r="T239" i="26"/>
  <c r="I165" i="26"/>
  <c r="P165" i="26" s="1"/>
  <c r="Q164" i="26"/>
  <c r="P164" i="26"/>
  <c r="H166" i="26"/>
  <c r="P240" i="26"/>
  <c r="R359" i="26"/>
  <c r="V359" i="26" s="1"/>
  <c r="U359" i="26"/>
  <c r="C361" i="26"/>
  <c r="E360" i="26"/>
  <c r="F360" i="26" s="1"/>
  <c r="P360" i="26" s="1"/>
  <c r="D360" i="26"/>
  <c r="L360" i="26" s="1"/>
  <c r="O199" i="26"/>
  <c r="F243" i="26"/>
  <c r="E243" i="26"/>
  <c r="Q241" i="26"/>
  <c r="M374" i="26"/>
  <c r="N373" i="26"/>
  <c r="G373" i="26"/>
  <c r="H374" i="26"/>
  <c r="I374" i="26"/>
  <c r="Q374" i="26"/>
  <c r="K373" i="26"/>
  <c r="J373" i="26"/>
  <c r="T372" i="26"/>
  <c r="T143" i="26"/>
  <c r="V143" i="26" s="1"/>
  <c r="T207" i="4"/>
  <c r="T201" i="4"/>
  <c r="O578" i="26" l="1"/>
  <c r="S240" i="26"/>
  <c r="T240" i="26"/>
  <c r="C244" i="26"/>
  <c r="L243" i="26"/>
  <c r="H167" i="26"/>
  <c r="I166" i="26"/>
  <c r="Q165" i="26"/>
  <c r="P241" i="26"/>
  <c r="T241" i="26" s="1"/>
  <c r="R360" i="26"/>
  <c r="V360" i="26" s="1"/>
  <c r="U360" i="26"/>
  <c r="C362" i="26"/>
  <c r="E361" i="26"/>
  <c r="F361" i="26" s="1"/>
  <c r="P361" i="26" s="1"/>
  <c r="D361" i="26"/>
  <c r="L361" i="26" s="1"/>
  <c r="F244" i="26"/>
  <c r="F245" i="26" s="1"/>
  <c r="O200" i="26"/>
  <c r="Q242" i="26"/>
  <c r="E244" i="26"/>
  <c r="Q375" i="26"/>
  <c r="J374" i="26"/>
  <c r="K374" i="26"/>
  <c r="I375" i="26"/>
  <c r="H375" i="26"/>
  <c r="T373" i="26"/>
  <c r="M375" i="26"/>
  <c r="N374" i="26"/>
  <c r="G374" i="26"/>
  <c r="T209" i="4"/>
  <c r="T202" i="4"/>
  <c r="L461" i="26" l="1"/>
  <c r="T460" i="26"/>
  <c r="C245" i="26"/>
  <c r="L244" i="26"/>
  <c r="M243" i="26"/>
  <c r="Q243" i="26" s="1"/>
  <c r="S241" i="26"/>
  <c r="I167" i="26"/>
  <c r="Q166" i="26"/>
  <c r="P166" i="26"/>
  <c r="H168" i="26"/>
  <c r="P242" i="26"/>
  <c r="T242" i="26" s="1"/>
  <c r="R361" i="26"/>
  <c r="V361" i="26" s="1"/>
  <c r="U361" i="26"/>
  <c r="C363" i="26"/>
  <c r="E362" i="26"/>
  <c r="F362" i="26" s="1"/>
  <c r="P362" i="26" s="1"/>
  <c r="D362" i="26"/>
  <c r="L362" i="26" s="1"/>
  <c r="O201" i="26"/>
  <c r="F246" i="26"/>
  <c r="E245" i="26"/>
  <c r="T374" i="26"/>
  <c r="M376" i="26"/>
  <c r="N375" i="26"/>
  <c r="G375" i="26"/>
  <c r="Q376" i="26"/>
  <c r="K375" i="26"/>
  <c r="J375" i="26"/>
  <c r="I376" i="26"/>
  <c r="H376" i="26"/>
  <c r="T203" i="4"/>
  <c r="T210" i="4"/>
  <c r="S460" i="26" l="1"/>
  <c r="U460" i="26" s="1"/>
  <c r="M244" i="26"/>
  <c r="Q244" i="26" s="1"/>
  <c r="C246" i="26"/>
  <c r="L245" i="26"/>
  <c r="M245" i="26" s="1"/>
  <c r="I168" i="26"/>
  <c r="Q167" i="26"/>
  <c r="P167" i="26"/>
  <c r="H169" i="26"/>
  <c r="S242" i="26"/>
  <c r="P243" i="26"/>
  <c r="T243" i="26" s="1"/>
  <c r="R362" i="26"/>
  <c r="V362" i="26" s="1"/>
  <c r="U362" i="26"/>
  <c r="C364" i="26"/>
  <c r="E363" i="26"/>
  <c r="F363" i="26" s="1"/>
  <c r="P363" i="26" s="1"/>
  <c r="D363" i="26"/>
  <c r="L363" i="26" s="1"/>
  <c r="O202" i="26"/>
  <c r="F247" i="26"/>
  <c r="E246" i="26"/>
  <c r="I377" i="26"/>
  <c r="H377" i="26"/>
  <c r="Q377" i="26"/>
  <c r="K376" i="26"/>
  <c r="J376" i="26"/>
  <c r="T375" i="26"/>
  <c r="M377" i="26"/>
  <c r="N376" i="26"/>
  <c r="G376" i="26"/>
  <c r="T211" i="4"/>
  <c r="T204" i="4"/>
  <c r="L462" i="26" l="1"/>
  <c r="T461" i="26"/>
  <c r="C247" i="26"/>
  <c r="L246" i="26"/>
  <c r="M246" i="26" s="1"/>
  <c r="I169" i="26"/>
  <c r="Q168" i="26"/>
  <c r="P168" i="26"/>
  <c r="H170" i="26"/>
  <c r="S243" i="26"/>
  <c r="P244" i="26"/>
  <c r="R363" i="26"/>
  <c r="V363" i="26" s="1"/>
  <c r="U363" i="26"/>
  <c r="C365" i="26"/>
  <c r="D364" i="26"/>
  <c r="L364" i="26" s="1"/>
  <c r="E364" i="26"/>
  <c r="O203" i="26"/>
  <c r="Q245" i="26"/>
  <c r="E247" i="26"/>
  <c r="F248" i="26"/>
  <c r="T376" i="26"/>
  <c r="M378" i="26"/>
  <c r="N377" i="26"/>
  <c r="G377" i="26"/>
  <c r="Q378" i="26"/>
  <c r="J377" i="26"/>
  <c r="K377" i="26"/>
  <c r="H378" i="26"/>
  <c r="I378" i="26"/>
  <c r="T205" i="4"/>
  <c r="T212" i="4"/>
  <c r="S461" i="26" l="1"/>
  <c r="U461" i="26" s="1"/>
  <c r="S244" i="26"/>
  <c r="T244" i="26"/>
  <c r="C248" i="26"/>
  <c r="L247" i="26"/>
  <c r="I170" i="26"/>
  <c r="Q169" i="26"/>
  <c r="P169" i="26"/>
  <c r="H171" i="26"/>
  <c r="P245" i="26"/>
  <c r="T245" i="26" s="1"/>
  <c r="F364" i="26"/>
  <c r="P364" i="26" s="1"/>
  <c r="U364" i="26" s="1"/>
  <c r="C366" i="26"/>
  <c r="E365" i="26"/>
  <c r="F365" i="26" s="1"/>
  <c r="P365" i="26" s="1"/>
  <c r="D365" i="26"/>
  <c r="L365" i="26" s="1"/>
  <c r="F249" i="26"/>
  <c r="F250" i="26" s="1"/>
  <c r="O204" i="26"/>
  <c r="Q246" i="26"/>
  <c r="E248" i="26"/>
  <c r="T377" i="26"/>
  <c r="M379" i="26"/>
  <c r="N378" i="26"/>
  <c r="G378" i="26"/>
  <c r="I379" i="26"/>
  <c r="H379" i="26"/>
  <c r="Q379" i="26"/>
  <c r="J378" i="26"/>
  <c r="K378" i="26"/>
  <c r="T213" i="4"/>
  <c r="T206" i="4"/>
  <c r="L463" i="26" l="1"/>
  <c r="T462" i="26"/>
  <c r="M247" i="26"/>
  <c r="Q247" i="26" s="1"/>
  <c r="C249" i="26"/>
  <c r="L248" i="26"/>
  <c r="I171" i="26"/>
  <c r="Q170" i="26"/>
  <c r="P170" i="26"/>
  <c r="H172" i="26"/>
  <c r="S245" i="26"/>
  <c r="P246" i="26"/>
  <c r="T246" i="26" s="1"/>
  <c r="R365" i="26"/>
  <c r="V365" i="26" s="1"/>
  <c r="U365" i="26"/>
  <c r="C367" i="26"/>
  <c r="E366" i="26"/>
  <c r="F366" i="26" s="1"/>
  <c r="P366" i="26" s="1"/>
  <c r="D366" i="26"/>
  <c r="L366" i="26" s="1"/>
  <c r="R364" i="26"/>
  <c r="V364" i="26" s="1"/>
  <c r="O205" i="26"/>
  <c r="E249" i="26"/>
  <c r="F251" i="26"/>
  <c r="T378" i="26"/>
  <c r="I380" i="26"/>
  <c r="H380" i="26"/>
  <c r="M380" i="26"/>
  <c r="N379" i="26"/>
  <c r="G379" i="26"/>
  <c r="Q380" i="26"/>
  <c r="K379" i="26"/>
  <c r="J379" i="26"/>
  <c r="T218" i="4"/>
  <c r="T208" i="4"/>
  <c r="T214" i="4"/>
  <c r="T224" i="4"/>
  <c r="T463" i="26" l="1"/>
  <c r="S462" i="26"/>
  <c r="U462" i="26" s="1"/>
  <c r="M248" i="26"/>
  <c r="Q248" i="26" s="1"/>
  <c r="C250" i="26"/>
  <c r="L249" i="26"/>
  <c r="I172" i="26"/>
  <c r="Q171" i="26"/>
  <c r="P171" i="26"/>
  <c r="H173" i="26"/>
  <c r="S246" i="26"/>
  <c r="P247" i="26"/>
  <c r="R366" i="26"/>
  <c r="V366" i="26" s="1"/>
  <c r="U366" i="26"/>
  <c r="C368" i="26"/>
  <c r="E367" i="26"/>
  <c r="F367" i="26" s="1"/>
  <c r="P367" i="26" s="1"/>
  <c r="D367" i="26"/>
  <c r="L367" i="26" s="1"/>
  <c r="O206" i="26"/>
  <c r="F252" i="26"/>
  <c r="E250" i="26"/>
  <c r="Q381" i="26"/>
  <c r="K380" i="26"/>
  <c r="J380" i="26"/>
  <c r="T379" i="26"/>
  <c r="H381" i="26"/>
  <c r="I381" i="26"/>
  <c r="M381" i="26"/>
  <c r="G380" i="26"/>
  <c r="N380" i="26"/>
  <c r="T215" i="4"/>
  <c r="L464" i="26" l="1"/>
  <c r="S463" i="26"/>
  <c r="U463" i="26" s="1"/>
  <c r="C251" i="26"/>
  <c r="L250" i="26"/>
  <c r="M250" i="26" s="1"/>
  <c r="M249" i="26"/>
  <c r="Q249" i="26" s="1"/>
  <c r="S247" i="26"/>
  <c r="T247" i="26"/>
  <c r="I173" i="26"/>
  <c r="P173" i="26" s="1"/>
  <c r="Q172" i="26"/>
  <c r="P172" i="26"/>
  <c r="H174" i="26"/>
  <c r="P248" i="26"/>
  <c r="R367" i="26"/>
  <c r="V367" i="26" s="1"/>
  <c r="U367" i="26"/>
  <c r="C369" i="26"/>
  <c r="D368" i="26"/>
  <c r="L368" i="26" s="1"/>
  <c r="E368" i="26"/>
  <c r="F368" i="26" s="1"/>
  <c r="P368" i="26" s="1"/>
  <c r="O207" i="26"/>
  <c r="F253" i="26"/>
  <c r="E251" i="26"/>
  <c r="M382" i="26"/>
  <c r="N381" i="26"/>
  <c r="G381" i="26"/>
  <c r="H382" i="26"/>
  <c r="I382" i="26"/>
  <c r="T380" i="26"/>
  <c r="Q382" i="26"/>
  <c r="J381" i="26"/>
  <c r="K381" i="26"/>
  <c r="T216" i="4"/>
  <c r="S248" i="26" l="1"/>
  <c r="T248" i="26"/>
  <c r="C252" i="26"/>
  <c r="L251" i="26"/>
  <c r="H175" i="26"/>
  <c r="I174" i="26"/>
  <c r="Q173" i="26"/>
  <c r="P249" i="26"/>
  <c r="S249" i="26" s="1"/>
  <c r="R368" i="26"/>
  <c r="V368" i="26" s="1"/>
  <c r="U368" i="26"/>
  <c r="C370" i="26"/>
  <c r="E369" i="26"/>
  <c r="F369" i="26" s="1"/>
  <c r="P369" i="26" s="1"/>
  <c r="D369" i="26"/>
  <c r="L369" i="26" s="1"/>
  <c r="Q250" i="26"/>
  <c r="O208" i="26"/>
  <c r="E252" i="26"/>
  <c r="F254" i="26"/>
  <c r="Q383" i="26"/>
  <c r="J382" i="26"/>
  <c r="K382" i="26"/>
  <c r="I383" i="26"/>
  <c r="H383" i="26"/>
  <c r="T381" i="26"/>
  <c r="M383" i="26"/>
  <c r="N382" i="26"/>
  <c r="G382" i="26"/>
  <c r="T217" i="4"/>
  <c r="L465" i="26" l="1"/>
  <c r="T464" i="26"/>
  <c r="M251" i="26"/>
  <c r="Q251" i="26" s="1"/>
  <c r="C253" i="26"/>
  <c r="L252" i="26"/>
  <c r="T249" i="26"/>
  <c r="I175" i="26"/>
  <c r="P175" i="26" s="1"/>
  <c r="Q174" i="26"/>
  <c r="P174" i="26"/>
  <c r="H176" i="26"/>
  <c r="P250" i="26"/>
  <c r="R369" i="26"/>
  <c r="V369" i="26" s="1"/>
  <c r="U369" i="26"/>
  <c r="C371" i="26"/>
  <c r="E370" i="26"/>
  <c r="F370" i="26" s="1"/>
  <c r="P370" i="26" s="1"/>
  <c r="D370" i="26"/>
  <c r="L370" i="26" s="1"/>
  <c r="F255" i="26"/>
  <c r="E253" i="26"/>
  <c r="T382" i="26"/>
  <c r="I384" i="26"/>
  <c r="H384" i="26"/>
  <c r="M384" i="26"/>
  <c r="N383" i="26"/>
  <c r="G383" i="26"/>
  <c r="Q384" i="26"/>
  <c r="K383" i="26"/>
  <c r="J383" i="26"/>
  <c r="T219" i="4"/>
  <c r="T465" i="26" l="1"/>
  <c r="S464" i="26"/>
  <c r="U464" i="26" s="1"/>
  <c r="C254" i="26"/>
  <c r="L253" i="26"/>
  <c r="M253" i="26" s="1"/>
  <c r="M252" i="26"/>
  <c r="Q252" i="26" s="1"/>
  <c r="S250" i="26"/>
  <c r="T250" i="26"/>
  <c r="H177" i="26"/>
  <c r="I176" i="26"/>
  <c r="Q175" i="26"/>
  <c r="P251" i="26"/>
  <c r="T251" i="26" s="1"/>
  <c r="C372" i="26"/>
  <c r="E371" i="26"/>
  <c r="F371" i="26" s="1"/>
  <c r="P371" i="26" s="1"/>
  <c r="D371" i="26"/>
  <c r="L371" i="26" s="1"/>
  <c r="R370" i="26"/>
  <c r="V370" i="26" s="1"/>
  <c r="U370" i="26"/>
  <c r="E254" i="26"/>
  <c r="F256" i="26"/>
  <c r="Q385" i="26"/>
  <c r="K384" i="26"/>
  <c r="J384" i="26"/>
  <c r="I385" i="26"/>
  <c r="H385" i="26"/>
  <c r="T383" i="26"/>
  <c r="M385" i="26"/>
  <c r="N384" i="26"/>
  <c r="G384" i="26"/>
  <c r="T220" i="4"/>
  <c r="L466" i="26" l="1"/>
  <c r="S465" i="26"/>
  <c r="U465" i="26" s="1"/>
  <c r="C255" i="26"/>
  <c r="L254" i="26"/>
  <c r="I177" i="26"/>
  <c r="P177" i="26" s="1"/>
  <c r="Q176" i="26"/>
  <c r="P176" i="26"/>
  <c r="H178" i="26"/>
  <c r="S251" i="26"/>
  <c r="P252" i="26"/>
  <c r="S252" i="26" s="1"/>
  <c r="R371" i="26"/>
  <c r="V371" i="26" s="1"/>
  <c r="U371" i="26"/>
  <c r="C373" i="26"/>
  <c r="E372" i="26"/>
  <c r="F372" i="26" s="1"/>
  <c r="P372" i="26" s="1"/>
  <c r="D372" i="26"/>
  <c r="L372" i="26" s="1"/>
  <c r="F257" i="26"/>
  <c r="Q253" i="26"/>
  <c r="E255" i="26"/>
  <c r="M386" i="26"/>
  <c r="N385" i="26"/>
  <c r="G385" i="26"/>
  <c r="Q386" i="26"/>
  <c r="K385" i="26"/>
  <c r="J385" i="26"/>
  <c r="H386" i="26"/>
  <c r="I386" i="26"/>
  <c r="T384" i="26"/>
  <c r="T221" i="4"/>
  <c r="T466" i="26" l="1"/>
  <c r="M254" i="26"/>
  <c r="Q254" i="26" s="1"/>
  <c r="C256" i="26"/>
  <c r="L255" i="26"/>
  <c r="T252" i="26"/>
  <c r="H179" i="26"/>
  <c r="I178" i="26"/>
  <c r="Q177" i="26"/>
  <c r="P253" i="26"/>
  <c r="T253" i="26" s="1"/>
  <c r="R372" i="26"/>
  <c r="V372" i="26" s="1"/>
  <c r="U372" i="26"/>
  <c r="C374" i="26"/>
  <c r="E373" i="26"/>
  <c r="F373" i="26" s="1"/>
  <c r="P373" i="26" s="1"/>
  <c r="D373" i="26"/>
  <c r="L373" i="26" s="1"/>
  <c r="F258" i="26"/>
  <c r="E256" i="26"/>
  <c r="Q387" i="26"/>
  <c r="J386" i="26"/>
  <c r="K386" i="26"/>
  <c r="H387" i="26"/>
  <c r="I387" i="26"/>
  <c r="T385" i="26"/>
  <c r="M387" i="26"/>
  <c r="N386" i="26"/>
  <c r="G386" i="26"/>
  <c r="T222" i="4"/>
  <c r="L467" i="26" l="1"/>
  <c r="S466" i="26"/>
  <c r="U466" i="26" s="1"/>
  <c r="M255" i="26"/>
  <c r="Q255" i="26" s="1"/>
  <c r="C257" i="26"/>
  <c r="L256" i="26"/>
  <c r="I179" i="26"/>
  <c r="P179" i="26" s="1"/>
  <c r="Q178" i="26"/>
  <c r="P178" i="26"/>
  <c r="H180" i="26"/>
  <c r="S253" i="26"/>
  <c r="P254" i="26"/>
  <c r="S254" i="26" s="1"/>
  <c r="R373" i="26"/>
  <c r="V373" i="26" s="1"/>
  <c r="U373" i="26"/>
  <c r="C375" i="26"/>
  <c r="E374" i="26"/>
  <c r="F374" i="26" s="1"/>
  <c r="P374" i="26" s="1"/>
  <c r="D374" i="26"/>
  <c r="L374" i="26" s="1"/>
  <c r="F259" i="26"/>
  <c r="E257" i="26"/>
  <c r="I388" i="26"/>
  <c r="H388" i="26"/>
  <c r="T386" i="26"/>
  <c r="M388" i="26"/>
  <c r="G387" i="26"/>
  <c r="N387" i="26"/>
  <c r="Q388" i="26"/>
  <c r="K387" i="26"/>
  <c r="J387" i="26"/>
  <c r="T223" i="4"/>
  <c r="T467" i="26" l="1"/>
  <c r="M256" i="26"/>
  <c r="Q256" i="26" s="1"/>
  <c r="C258" i="26"/>
  <c r="L257" i="26"/>
  <c r="M257" i="26" s="1"/>
  <c r="T254" i="26"/>
  <c r="H181" i="26"/>
  <c r="I180" i="26"/>
  <c r="Q179" i="26"/>
  <c r="P255" i="26"/>
  <c r="T255" i="26" s="1"/>
  <c r="C376" i="26"/>
  <c r="E375" i="26"/>
  <c r="F375" i="26" s="1"/>
  <c r="P375" i="26" s="1"/>
  <c r="D375" i="26"/>
  <c r="L375" i="26" s="1"/>
  <c r="R374" i="26"/>
  <c r="V374" i="26" s="1"/>
  <c r="U374" i="26"/>
  <c r="F260" i="26"/>
  <c r="E258" i="26"/>
  <c r="T387" i="26"/>
  <c r="I389" i="26"/>
  <c r="H389" i="26"/>
  <c r="Q389" i="26"/>
  <c r="K388" i="26"/>
  <c r="J388" i="26"/>
  <c r="M389" i="26"/>
  <c r="G388" i="26"/>
  <c r="N388" i="26"/>
  <c r="L468" i="26" l="1"/>
  <c r="S467" i="26"/>
  <c r="U467" i="26" s="1"/>
  <c r="C259" i="26"/>
  <c r="L258" i="26"/>
  <c r="M258" i="26" s="1"/>
  <c r="I181" i="26"/>
  <c r="P181" i="26" s="1"/>
  <c r="Q180" i="26"/>
  <c r="P180" i="26"/>
  <c r="H182" i="26"/>
  <c r="P256" i="26"/>
  <c r="R375" i="26"/>
  <c r="V375" i="26" s="1"/>
  <c r="U375" i="26"/>
  <c r="C377" i="26"/>
  <c r="E376" i="26"/>
  <c r="F376" i="26" s="1"/>
  <c r="P376" i="26" s="1"/>
  <c r="D376" i="26"/>
  <c r="L376" i="26" s="1"/>
  <c r="F261" i="26"/>
  <c r="S255" i="26"/>
  <c r="Q257" i="26"/>
  <c r="E259" i="26"/>
  <c r="Q390" i="26"/>
  <c r="J389" i="26"/>
  <c r="K389" i="26"/>
  <c r="M390" i="26"/>
  <c r="N389" i="26"/>
  <c r="G389" i="26"/>
  <c r="T388" i="26"/>
  <c r="H390" i="26"/>
  <c r="I390" i="26"/>
  <c r="L469" i="26" l="1"/>
  <c r="S256" i="26"/>
  <c r="T256" i="26"/>
  <c r="C260" i="26"/>
  <c r="L259" i="26"/>
  <c r="H183" i="26"/>
  <c r="I182" i="26"/>
  <c r="Q181" i="26"/>
  <c r="P257" i="26"/>
  <c r="R376" i="26"/>
  <c r="V376" i="26" s="1"/>
  <c r="U376" i="26"/>
  <c r="C378" i="26"/>
  <c r="D377" i="26"/>
  <c r="L377" i="26" s="1"/>
  <c r="E377" i="26"/>
  <c r="F377" i="26" s="1"/>
  <c r="P377" i="26" s="1"/>
  <c r="F262" i="26"/>
  <c r="Q258" i="26"/>
  <c r="E260" i="26"/>
  <c r="I391" i="26"/>
  <c r="H391" i="26"/>
  <c r="T389" i="26"/>
  <c r="Q391" i="26"/>
  <c r="J390" i="26"/>
  <c r="K390" i="26"/>
  <c r="M391" i="26"/>
  <c r="N390" i="26"/>
  <c r="G390" i="26"/>
  <c r="T469" i="26" l="1"/>
  <c r="T468" i="26"/>
  <c r="M259" i="26"/>
  <c r="Q259" i="26" s="1"/>
  <c r="C261" i="26"/>
  <c r="L260" i="26"/>
  <c r="S257" i="26"/>
  <c r="T257" i="26"/>
  <c r="I183" i="26"/>
  <c r="P183" i="26" s="1"/>
  <c r="Q182" i="26"/>
  <c r="P182" i="26"/>
  <c r="H184" i="26"/>
  <c r="P258" i="26"/>
  <c r="C379" i="26"/>
  <c r="D378" i="26"/>
  <c r="L378" i="26" s="1"/>
  <c r="E378" i="26"/>
  <c r="F378" i="26" s="1"/>
  <c r="P378" i="26" s="1"/>
  <c r="R377" i="26"/>
  <c r="V377" i="26" s="1"/>
  <c r="U377" i="26"/>
  <c r="F263" i="26"/>
  <c r="E261" i="26"/>
  <c r="M392" i="26"/>
  <c r="G391" i="26"/>
  <c r="N391" i="26"/>
  <c r="I392" i="26"/>
  <c r="H392" i="26"/>
  <c r="Q392" i="26"/>
  <c r="K391" i="26"/>
  <c r="J391" i="26"/>
  <c r="T390" i="26"/>
  <c r="T1057" i="4"/>
  <c r="T1061" i="4"/>
  <c r="T1053" i="4"/>
  <c r="S469" i="26" l="1"/>
  <c r="U469" i="26" s="1"/>
  <c r="L470" i="26"/>
  <c r="S468" i="26"/>
  <c r="U468" i="26" s="1"/>
  <c r="S258" i="26"/>
  <c r="T258" i="26"/>
  <c r="M260" i="26"/>
  <c r="Q260" i="26" s="1"/>
  <c r="C262" i="26"/>
  <c r="L261" i="26"/>
  <c r="H185" i="26"/>
  <c r="I184" i="26"/>
  <c r="Q183" i="26"/>
  <c r="P259" i="26"/>
  <c r="T259" i="26" s="1"/>
  <c r="R378" i="26"/>
  <c r="V378" i="26" s="1"/>
  <c r="U378" i="26"/>
  <c r="C380" i="26"/>
  <c r="D379" i="26"/>
  <c r="L379" i="26" s="1"/>
  <c r="E379" i="26"/>
  <c r="F379" i="26" s="1"/>
  <c r="P379" i="26" s="1"/>
  <c r="F264" i="26"/>
  <c r="E262" i="26"/>
  <c r="Q393" i="26"/>
  <c r="K392" i="26"/>
  <c r="J392" i="26"/>
  <c r="M393" i="26"/>
  <c r="N392" i="26"/>
  <c r="G392" i="26"/>
  <c r="I393" i="26"/>
  <c r="H393" i="26"/>
  <c r="T391" i="26"/>
  <c r="T1054" i="4"/>
  <c r="T1062" i="4"/>
  <c r="T1058" i="4"/>
  <c r="T470" i="26" l="1"/>
  <c r="M261" i="26"/>
  <c r="Q261" i="26" s="1"/>
  <c r="C263" i="26"/>
  <c r="L262" i="26"/>
  <c r="M262" i="26" s="1"/>
  <c r="I185" i="26"/>
  <c r="P185" i="26" s="1"/>
  <c r="Q184" i="26"/>
  <c r="P184" i="26"/>
  <c r="H186" i="26"/>
  <c r="S259" i="26"/>
  <c r="P260" i="26"/>
  <c r="T260" i="26" s="1"/>
  <c r="R379" i="26"/>
  <c r="V379" i="26" s="1"/>
  <c r="U379" i="26"/>
  <c r="C381" i="26"/>
  <c r="E380" i="26"/>
  <c r="F380" i="26" s="1"/>
  <c r="P380" i="26" s="1"/>
  <c r="D380" i="26"/>
  <c r="L380" i="26" s="1"/>
  <c r="F265" i="26"/>
  <c r="E263" i="26"/>
  <c r="T392" i="26"/>
  <c r="Q394" i="26"/>
  <c r="J393" i="26"/>
  <c r="K393" i="26"/>
  <c r="M394" i="26"/>
  <c r="N393" i="26"/>
  <c r="G393" i="26"/>
  <c r="H394" i="26"/>
  <c r="I394" i="26"/>
  <c r="T1059" i="4"/>
  <c r="T1063" i="4"/>
  <c r="T1055" i="4"/>
  <c r="S470" i="26" l="1"/>
  <c r="U470" i="26" s="1"/>
  <c r="L471" i="26"/>
  <c r="C264" i="26"/>
  <c r="L263" i="26"/>
  <c r="H187" i="26"/>
  <c r="I186" i="26"/>
  <c r="Q185" i="26"/>
  <c r="S260" i="26"/>
  <c r="P261" i="26"/>
  <c r="S261" i="26" s="1"/>
  <c r="R380" i="26"/>
  <c r="V380" i="26" s="1"/>
  <c r="U380" i="26"/>
  <c r="C382" i="26"/>
  <c r="D381" i="26"/>
  <c r="L381" i="26" s="1"/>
  <c r="E381" i="26"/>
  <c r="F381" i="26" s="1"/>
  <c r="P381" i="26" s="1"/>
  <c r="F266" i="26"/>
  <c r="Q262" i="26"/>
  <c r="E264" i="26"/>
  <c r="I395" i="26"/>
  <c r="H395" i="26"/>
  <c r="Q395" i="26"/>
  <c r="J394" i="26"/>
  <c r="K394" i="26"/>
  <c r="T393" i="26"/>
  <c r="M395" i="26"/>
  <c r="N394" i="26"/>
  <c r="G394" i="26"/>
  <c r="T1060" i="4"/>
  <c r="T1056" i="4"/>
  <c r="T1064" i="4"/>
  <c r="T471" i="26" l="1"/>
  <c r="M263" i="26"/>
  <c r="Q263" i="26" s="1"/>
  <c r="C265" i="26"/>
  <c r="L264" i="26"/>
  <c r="T261" i="26"/>
  <c r="I187" i="26"/>
  <c r="P187" i="26" s="1"/>
  <c r="Q186" i="26"/>
  <c r="P186" i="26"/>
  <c r="H188" i="26"/>
  <c r="P262" i="26"/>
  <c r="T262" i="26" s="1"/>
  <c r="C383" i="26"/>
  <c r="D382" i="26"/>
  <c r="L382" i="26" s="1"/>
  <c r="E382" i="26"/>
  <c r="F382" i="26" s="1"/>
  <c r="P382" i="26" s="1"/>
  <c r="R381" i="26"/>
  <c r="V381" i="26" s="1"/>
  <c r="U381" i="26"/>
  <c r="F267" i="26"/>
  <c r="E265" i="26"/>
  <c r="T394" i="26"/>
  <c r="Q396" i="26"/>
  <c r="K395" i="26"/>
  <c r="J395" i="26"/>
  <c r="M396" i="26"/>
  <c r="N395" i="26"/>
  <c r="G395" i="26"/>
  <c r="I396" i="26"/>
  <c r="H396" i="26"/>
  <c r="L472" i="26" l="1"/>
  <c r="S471" i="26"/>
  <c r="U471" i="26" s="1"/>
  <c r="M264" i="26"/>
  <c r="Q264" i="26" s="1"/>
  <c r="C266" i="26"/>
  <c r="L265" i="26"/>
  <c r="M265" i="26" s="1"/>
  <c r="S262" i="26"/>
  <c r="H189" i="26"/>
  <c r="I188" i="26"/>
  <c r="Q187" i="26"/>
  <c r="P263" i="26"/>
  <c r="R382" i="26"/>
  <c r="V382" i="26" s="1"/>
  <c r="U382" i="26"/>
  <c r="C384" i="26"/>
  <c r="E383" i="26"/>
  <c r="F383" i="26" s="1"/>
  <c r="P383" i="26" s="1"/>
  <c r="D383" i="26"/>
  <c r="L383" i="26" s="1"/>
  <c r="F268" i="26"/>
  <c r="E266" i="26"/>
  <c r="H397" i="26"/>
  <c r="I397" i="26"/>
  <c r="T395" i="26"/>
  <c r="Q397" i="26"/>
  <c r="K396" i="26"/>
  <c r="J396" i="26"/>
  <c r="M397" i="26"/>
  <c r="G396" i="26"/>
  <c r="N396" i="26"/>
  <c r="S263" i="26" l="1"/>
  <c r="T263" i="26"/>
  <c r="C267" i="26"/>
  <c r="L266" i="26"/>
  <c r="M266" i="26" s="1"/>
  <c r="I189" i="26"/>
  <c r="P189" i="26" s="1"/>
  <c r="Q188" i="26"/>
  <c r="P188" i="26"/>
  <c r="H190" i="26"/>
  <c r="P264" i="26"/>
  <c r="T264" i="26" s="1"/>
  <c r="R383" i="26"/>
  <c r="V383" i="26" s="1"/>
  <c r="U383" i="26"/>
  <c r="C385" i="26"/>
  <c r="E384" i="26"/>
  <c r="F384" i="26" s="1"/>
  <c r="P384" i="26" s="1"/>
  <c r="D384" i="26"/>
  <c r="L384" i="26" s="1"/>
  <c r="Q265" i="26"/>
  <c r="F269" i="26"/>
  <c r="E267" i="26"/>
  <c r="T396" i="26"/>
  <c r="M398" i="26"/>
  <c r="N397" i="26"/>
  <c r="G397" i="26"/>
  <c r="Q398" i="26"/>
  <c r="J397" i="26"/>
  <c r="K397" i="26"/>
  <c r="H398" i="26"/>
  <c r="I398" i="26"/>
  <c r="L473" i="26" l="1"/>
  <c r="T472" i="26"/>
  <c r="C268" i="26"/>
  <c r="L267" i="26"/>
  <c r="H191" i="26"/>
  <c r="I190" i="26"/>
  <c r="Q189" i="26"/>
  <c r="S264" i="26"/>
  <c r="P265" i="26"/>
  <c r="R384" i="26"/>
  <c r="V384" i="26" s="1"/>
  <c r="U384" i="26"/>
  <c r="C386" i="26"/>
  <c r="E385" i="26"/>
  <c r="F385" i="26" s="1"/>
  <c r="P385" i="26" s="1"/>
  <c r="D385" i="26"/>
  <c r="L385" i="26" s="1"/>
  <c r="F270" i="26"/>
  <c r="E268" i="26"/>
  <c r="Q266" i="26"/>
  <c r="M399" i="26"/>
  <c r="N398" i="26"/>
  <c r="G398" i="26"/>
  <c r="Q399" i="26"/>
  <c r="J398" i="26"/>
  <c r="K398" i="26"/>
  <c r="H399" i="26"/>
  <c r="I399" i="26"/>
  <c r="T397" i="26"/>
  <c r="S472" i="26" l="1"/>
  <c r="U472" i="26" s="1"/>
  <c r="S265" i="26"/>
  <c r="T265" i="26"/>
  <c r="M267" i="26"/>
  <c r="Q267" i="26" s="1"/>
  <c r="C269" i="26"/>
  <c r="L268" i="26"/>
  <c r="I191" i="26"/>
  <c r="P191" i="26" s="1"/>
  <c r="Q190" i="26"/>
  <c r="P190" i="26"/>
  <c r="H192" i="26"/>
  <c r="P266" i="26"/>
  <c r="T266" i="26" s="1"/>
  <c r="R385" i="26"/>
  <c r="V385" i="26" s="1"/>
  <c r="U385" i="26"/>
  <c r="C387" i="26"/>
  <c r="D386" i="26"/>
  <c r="L386" i="26" s="1"/>
  <c r="E386" i="26"/>
  <c r="F386" i="26" s="1"/>
  <c r="P386" i="26" s="1"/>
  <c r="F271" i="26"/>
  <c r="E269" i="26"/>
  <c r="M400" i="26"/>
  <c r="N399" i="26"/>
  <c r="G399" i="26"/>
  <c r="Q400" i="26"/>
  <c r="K399" i="26"/>
  <c r="J399" i="26"/>
  <c r="I400" i="26"/>
  <c r="H400" i="26"/>
  <c r="T398" i="26"/>
  <c r="T473" i="26" l="1"/>
  <c r="L474" i="26"/>
  <c r="C270" i="26"/>
  <c r="L269" i="26"/>
  <c r="M269" i="26" s="1"/>
  <c r="M268" i="26"/>
  <c r="Q268" i="26" s="1"/>
  <c r="H193" i="26"/>
  <c r="I192" i="26"/>
  <c r="Q191" i="26"/>
  <c r="S266" i="26"/>
  <c r="P267" i="26"/>
  <c r="T267" i="26" s="1"/>
  <c r="R386" i="26"/>
  <c r="V386" i="26" s="1"/>
  <c r="U386" i="26"/>
  <c r="C388" i="26"/>
  <c r="E387" i="26"/>
  <c r="F387" i="26" s="1"/>
  <c r="P387" i="26" s="1"/>
  <c r="D387" i="26"/>
  <c r="L387" i="26" s="1"/>
  <c r="F272" i="26"/>
  <c r="E270" i="26"/>
  <c r="T399" i="26"/>
  <c r="N400" i="26"/>
  <c r="G400" i="26"/>
  <c r="K400" i="26"/>
  <c r="J400" i="26"/>
  <c r="T474" i="26" l="1"/>
  <c r="S473" i="26"/>
  <c r="U473" i="26" s="1"/>
  <c r="C271" i="26"/>
  <c r="L270" i="26"/>
  <c r="I193" i="26"/>
  <c r="P193" i="26" s="1"/>
  <c r="Q192" i="26"/>
  <c r="P192" i="26"/>
  <c r="H194" i="26"/>
  <c r="S267" i="26"/>
  <c r="P268" i="26"/>
  <c r="T268" i="26" s="1"/>
  <c r="R387" i="26"/>
  <c r="V387" i="26" s="1"/>
  <c r="U387" i="26"/>
  <c r="C389" i="26"/>
  <c r="D388" i="26"/>
  <c r="L388" i="26" s="1"/>
  <c r="E388" i="26"/>
  <c r="F388" i="26" s="1"/>
  <c r="P388" i="26" s="1"/>
  <c r="F273" i="26"/>
  <c r="Q269" i="26"/>
  <c r="E271" i="26"/>
  <c r="T400" i="26"/>
  <c r="L475" i="26" l="1"/>
  <c r="S474" i="26"/>
  <c r="U474" i="26" s="1"/>
  <c r="M270" i="26"/>
  <c r="Q270" i="26" s="1"/>
  <c r="C272" i="26"/>
  <c r="L271" i="26"/>
  <c r="H195" i="26"/>
  <c r="I194" i="26"/>
  <c r="Q193" i="26"/>
  <c r="S268" i="26"/>
  <c r="P269" i="26"/>
  <c r="T269" i="26" s="1"/>
  <c r="R388" i="26"/>
  <c r="V388" i="26" s="1"/>
  <c r="U388" i="26"/>
  <c r="C390" i="26"/>
  <c r="E389" i="26"/>
  <c r="F389" i="26" s="1"/>
  <c r="P389" i="26" s="1"/>
  <c r="D389" i="26"/>
  <c r="L389" i="26" s="1"/>
  <c r="F274" i="26"/>
  <c r="E272" i="26"/>
  <c r="T475" i="26" l="1"/>
  <c r="C273" i="26"/>
  <c r="L272" i="26"/>
  <c r="M271" i="26"/>
  <c r="Q271" i="26" s="1"/>
  <c r="S269" i="26"/>
  <c r="I195" i="26"/>
  <c r="P195" i="26" s="1"/>
  <c r="Q194" i="26"/>
  <c r="P194" i="26"/>
  <c r="H196" i="26"/>
  <c r="P270" i="26"/>
  <c r="S270" i="26" s="1"/>
  <c r="R389" i="26"/>
  <c r="V389" i="26" s="1"/>
  <c r="U389" i="26"/>
  <c r="C391" i="26"/>
  <c r="E390" i="26"/>
  <c r="F390" i="26" s="1"/>
  <c r="P390" i="26" s="1"/>
  <c r="D390" i="26"/>
  <c r="L390" i="26" s="1"/>
  <c r="F275" i="26"/>
  <c r="E273" i="26"/>
  <c r="L476" i="26" l="1"/>
  <c r="S475" i="26"/>
  <c r="U475" i="26" s="1"/>
  <c r="C274" i="26"/>
  <c r="L273" i="26"/>
  <c r="M273" i="26" s="1"/>
  <c r="M272" i="26"/>
  <c r="Q272" i="26" s="1"/>
  <c r="T270" i="26"/>
  <c r="H197" i="26"/>
  <c r="I196" i="26"/>
  <c r="Q195" i="26"/>
  <c r="P271" i="26"/>
  <c r="T271" i="26" s="1"/>
  <c r="C392" i="26"/>
  <c r="E391" i="26"/>
  <c r="F391" i="26" s="1"/>
  <c r="P391" i="26" s="1"/>
  <c r="D391" i="26"/>
  <c r="L391" i="26" s="1"/>
  <c r="R390" i="26"/>
  <c r="V390" i="26" s="1"/>
  <c r="U390" i="26"/>
  <c r="F276" i="26"/>
  <c r="E274" i="26"/>
  <c r="C275" i="26" l="1"/>
  <c r="L274" i="26"/>
  <c r="M274" i="26" s="1"/>
  <c r="I197" i="26"/>
  <c r="P197" i="26" s="1"/>
  <c r="Q196" i="26"/>
  <c r="P196" i="26"/>
  <c r="H198" i="26"/>
  <c r="S271" i="26"/>
  <c r="P272" i="26"/>
  <c r="T272" i="26" s="1"/>
  <c r="R391" i="26"/>
  <c r="V391" i="26" s="1"/>
  <c r="U391" i="26"/>
  <c r="C393" i="26"/>
  <c r="E392" i="26"/>
  <c r="F392" i="26" s="1"/>
  <c r="P392" i="26" s="1"/>
  <c r="D392" i="26"/>
  <c r="L392" i="26" s="1"/>
  <c r="F277" i="26"/>
  <c r="Q273" i="26"/>
  <c r="E275" i="26"/>
  <c r="T476" i="26" l="1"/>
  <c r="L477" i="26"/>
  <c r="C276" i="26"/>
  <c r="L275" i="26"/>
  <c r="H199" i="26"/>
  <c r="I198" i="26"/>
  <c r="Q197" i="26"/>
  <c r="P273" i="26"/>
  <c r="T273" i="26" s="1"/>
  <c r="R392" i="26"/>
  <c r="V392" i="26" s="1"/>
  <c r="U392" i="26"/>
  <c r="C394" i="26"/>
  <c r="D393" i="26"/>
  <c r="L393" i="26" s="1"/>
  <c r="E393" i="26"/>
  <c r="F393" i="26" s="1"/>
  <c r="P393" i="26" s="1"/>
  <c r="S272" i="26"/>
  <c r="F278" i="26"/>
  <c r="Q274" i="26"/>
  <c r="E276" i="26"/>
  <c r="S476" i="26" l="1"/>
  <c r="U476" i="26" s="1"/>
  <c r="C277" i="26"/>
  <c r="L276" i="26"/>
  <c r="M275" i="26"/>
  <c r="Q275" i="26" s="1"/>
  <c r="S273" i="26"/>
  <c r="I199" i="26"/>
  <c r="P199" i="26" s="1"/>
  <c r="Q198" i="26"/>
  <c r="P198" i="26"/>
  <c r="H200" i="26"/>
  <c r="P274" i="26"/>
  <c r="C395" i="26"/>
  <c r="E394" i="26"/>
  <c r="F394" i="26" s="1"/>
  <c r="P394" i="26" s="1"/>
  <c r="D394" i="26"/>
  <c r="L394" i="26" s="1"/>
  <c r="R393" i="26"/>
  <c r="V393" i="26" s="1"/>
  <c r="U393" i="26"/>
  <c r="F279" i="26"/>
  <c r="E277" i="26"/>
  <c r="T477" i="26" l="1"/>
  <c r="L478" i="26"/>
  <c r="S274" i="26"/>
  <c r="T274" i="26"/>
  <c r="M276" i="26"/>
  <c r="Q276" i="26" s="1"/>
  <c r="C278" i="26"/>
  <c r="L277" i="26"/>
  <c r="H201" i="26"/>
  <c r="I200" i="26"/>
  <c r="Q199" i="26"/>
  <c r="P275" i="26"/>
  <c r="S275" i="26" s="1"/>
  <c r="R394" i="26"/>
  <c r="V394" i="26" s="1"/>
  <c r="U394" i="26"/>
  <c r="C396" i="26"/>
  <c r="D395" i="26"/>
  <c r="L395" i="26" s="1"/>
  <c r="E395" i="26"/>
  <c r="F395" i="26" s="1"/>
  <c r="P395" i="26" s="1"/>
  <c r="F280" i="26"/>
  <c r="E278" i="26"/>
  <c r="T478" i="26" l="1"/>
  <c r="V419" i="26" s="1"/>
  <c r="S477" i="26"/>
  <c r="U477" i="26" s="1"/>
  <c r="M277" i="26"/>
  <c r="Q277" i="26" s="1"/>
  <c r="C279" i="26"/>
  <c r="L278" i="26"/>
  <c r="M278" i="26" s="1"/>
  <c r="T275" i="26"/>
  <c r="I201" i="26"/>
  <c r="P201" i="26" s="1"/>
  <c r="Q200" i="26"/>
  <c r="P200" i="26"/>
  <c r="H202" i="26"/>
  <c r="P276" i="26"/>
  <c r="R395" i="26"/>
  <c r="V395" i="26" s="1"/>
  <c r="U395" i="26"/>
  <c r="C397" i="26"/>
  <c r="D396" i="26"/>
  <c r="L396" i="26" s="1"/>
  <c r="E396" i="26"/>
  <c r="F396" i="26" s="1"/>
  <c r="P396" i="26" s="1"/>
  <c r="F281" i="26"/>
  <c r="E279" i="26"/>
  <c r="S478" i="26" l="1"/>
  <c r="V415" i="26" s="1"/>
  <c r="S276" i="26"/>
  <c r="T276" i="26"/>
  <c r="C280" i="26"/>
  <c r="L279" i="26"/>
  <c r="H203" i="26"/>
  <c r="I202" i="26"/>
  <c r="Q201" i="26"/>
  <c r="P277" i="26"/>
  <c r="T277" i="26" s="1"/>
  <c r="R396" i="26"/>
  <c r="V396" i="26" s="1"/>
  <c r="U396" i="26"/>
  <c r="C398" i="26"/>
  <c r="D397" i="26"/>
  <c r="L397" i="26" s="1"/>
  <c r="E397" i="26"/>
  <c r="F397" i="26" s="1"/>
  <c r="P397" i="26" s="1"/>
  <c r="F282" i="26"/>
  <c r="Q278" i="26"/>
  <c r="E280" i="26"/>
  <c r="U478" i="26" l="1"/>
  <c r="V423" i="26" s="1"/>
  <c r="M279" i="26"/>
  <c r="Q279" i="26" s="1"/>
  <c r="C281" i="26"/>
  <c r="L280" i="26"/>
  <c r="S277" i="26"/>
  <c r="I203" i="26"/>
  <c r="P203" i="26" s="1"/>
  <c r="Q202" i="26"/>
  <c r="P202" i="26"/>
  <c r="H204" i="26"/>
  <c r="P278" i="26"/>
  <c r="U291" i="26"/>
  <c r="V291" i="26" s="1"/>
  <c r="V286" i="26"/>
  <c r="C399" i="26"/>
  <c r="E398" i="26"/>
  <c r="F398" i="26" s="1"/>
  <c r="P398" i="26" s="1"/>
  <c r="D398" i="26"/>
  <c r="L398" i="26" s="1"/>
  <c r="R397" i="26"/>
  <c r="V397" i="26" s="1"/>
  <c r="U397" i="26"/>
  <c r="F283" i="26"/>
  <c r="E281" i="26"/>
  <c r="M280" i="26" l="1"/>
  <c r="Q280" i="26" s="1"/>
  <c r="C282" i="26"/>
  <c r="L281" i="26"/>
  <c r="M281" i="26" s="1"/>
  <c r="S278" i="26"/>
  <c r="T278" i="26"/>
  <c r="H205" i="26"/>
  <c r="I204" i="26"/>
  <c r="Q203" i="26"/>
  <c r="P279" i="26"/>
  <c r="R398" i="26"/>
  <c r="V398" i="26" s="1"/>
  <c r="U398" i="26"/>
  <c r="C400" i="26"/>
  <c r="D399" i="26"/>
  <c r="L399" i="26" s="1"/>
  <c r="E399" i="26"/>
  <c r="F399" i="26" s="1"/>
  <c r="P399" i="26" s="1"/>
  <c r="E282" i="26"/>
  <c r="S279" i="26" l="1"/>
  <c r="T279" i="26"/>
  <c r="C283" i="26"/>
  <c r="L282" i="26"/>
  <c r="M282" i="26" s="1"/>
  <c r="I205" i="26"/>
  <c r="P205" i="26" s="1"/>
  <c r="Q204" i="26"/>
  <c r="P204" i="26"/>
  <c r="H206" i="26"/>
  <c r="P280" i="26"/>
  <c r="T280" i="26" s="1"/>
  <c r="R399" i="26"/>
  <c r="V399" i="26" s="1"/>
  <c r="U399" i="26"/>
  <c r="D400" i="26"/>
  <c r="L400" i="26" s="1"/>
  <c r="E400" i="26"/>
  <c r="F400" i="26" s="1"/>
  <c r="P400" i="26" s="1"/>
  <c r="Q281" i="26"/>
  <c r="E283" i="26"/>
  <c r="L283" i="26" l="1"/>
  <c r="M283" i="26" s="1"/>
  <c r="H207" i="26"/>
  <c r="I206" i="26"/>
  <c r="Q205" i="26"/>
  <c r="S280" i="26"/>
  <c r="P281" i="26"/>
  <c r="T281" i="26" s="1"/>
  <c r="R400" i="26"/>
  <c r="V400" i="26" s="1"/>
  <c r="U400" i="26"/>
  <c r="Q282" i="26"/>
  <c r="I207" i="26" l="1"/>
  <c r="P207" i="26" s="1"/>
  <c r="Q206" i="26"/>
  <c r="P206" i="26"/>
  <c r="H208" i="26"/>
  <c r="S281" i="26"/>
  <c r="P282" i="26"/>
  <c r="T282" i="26" s="1"/>
  <c r="I208" i="26" l="1"/>
  <c r="Q208" i="26" s="1"/>
  <c r="Q207" i="26"/>
  <c r="Q283" i="26"/>
  <c r="P283" i="26"/>
  <c r="S282" i="26"/>
  <c r="V153" i="26" l="1"/>
  <c r="T283" i="26"/>
  <c r="P208" i="26"/>
  <c r="V149" i="26" s="1"/>
  <c r="S283" i="26"/>
  <c r="V212" i="26" l="1"/>
  <c r="U217" i="26"/>
  <c r="V217" i="26" s="1"/>
  <c r="T530" i="26"/>
  <c r="K531" i="26" l="1"/>
  <c r="P531" i="26" s="1"/>
  <c r="S530" i="26"/>
  <c r="K532" i="26"/>
  <c r="P532" i="26" s="1"/>
  <c r="T531" i="26" l="1"/>
  <c r="S531" i="26"/>
  <c r="T532" i="26"/>
  <c r="K533" i="26"/>
  <c r="P533" i="26" s="1"/>
  <c r="K534" i="26" l="1"/>
  <c r="P534" i="26" s="1"/>
  <c r="T533" i="26"/>
  <c r="S532" i="26"/>
  <c r="S533" i="26" l="1"/>
  <c r="T534" i="26"/>
  <c r="K535" i="26"/>
  <c r="P535" i="26" s="1"/>
  <c r="W419" i="26" l="1"/>
  <c r="W415" i="26"/>
  <c r="S534" i="26"/>
  <c r="K536" i="26"/>
  <c r="P536" i="26" s="1"/>
  <c r="T535" i="26"/>
  <c r="T536" i="26" l="1"/>
  <c r="K537" i="26"/>
  <c r="P537" i="26" s="1"/>
  <c r="S535" i="26"/>
  <c r="W423" i="26" l="1"/>
  <c r="T537" i="26"/>
  <c r="K538" i="26"/>
  <c r="P538" i="26" s="1"/>
  <c r="S536" i="26"/>
  <c r="U487" i="26" l="1"/>
  <c r="V487" i="26" s="1"/>
  <c r="V482" i="26"/>
  <c r="T538" i="26"/>
  <c r="K539" i="26"/>
  <c r="P539" i="26" s="1"/>
  <c r="S537" i="26"/>
  <c r="T539" i="26" l="1"/>
  <c r="K540" i="26"/>
  <c r="P540" i="26" s="1"/>
  <c r="S538" i="26"/>
  <c r="T540" i="26" l="1"/>
  <c r="K541" i="26"/>
  <c r="P541" i="26" s="1"/>
  <c r="S539" i="26"/>
  <c r="K542" i="26" l="1"/>
  <c r="P542" i="26" s="1"/>
  <c r="T541" i="26"/>
  <c r="S540" i="26"/>
  <c r="S541" i="26" l="1"/>
  <c r="T542" i="26"/>
  <c r="K543" i="26"/>
  <c r="P543" i="26" s="1"/>
  <c r="K544" i="26" l="1"/>
  <c r="P544" i="26" s="1"/>
  <c r="T543" i="26"/>
  <c r="S542" i="26"/>
  <c r="S543" i="26" l="1"/>
  <c r="T544" i="26"/>
  <c r="K545" i="26"/>
  <c r="P545" i="26" s="1"/>
  <c r="S544" i="26" l="1"/>
  <c r="T545" i="26"/>
  <c r="K546" i="26"/>
  <c r="P546" i="26" s="1"/>
  <c r="K547" i="26" l="1"/>
  <c r="P547" i="26" s="1"/>
  <c r="T546" i="26"/>
  <c r="S545" i="26"/>
  <c r="S546" i="26" l="1"/>
  <c r="K548" i="26"/>
  <c r="P548" i="26" s="1"/>
  <c r="T547" i="26"/>
  <c r="S547" i="26" l="1"/>
  <c r="T548" i="26"/>
  <c r="K549" i="26"/>
  <c r="P549" i="26" s="1"/>
  <c r="S548" i="26" l="1"/>
  <c r="K550" i="26"/>
  <c r="P550" i="26" s="1"/>
  <c r="T549" i="26"/>
  <c r="S549" i="26" l="1"/>
  <c r="K551" i="26"/>
  <c r="P551" i="26" s="1"/>
  <c r="T550" i="26"/>
  <c r="S550" i="26" l="1"/>
  <c r="K552" i="26"/>
  <c r="P552" i="26" s="1"/>
  <c r="T551" i="26"/>
  <c r="T552" i="26" l="1"/>
  <c r="K553" i="26"/>
  <c r="P553" i="26" s="1"/>
  <c r="S551" i="26"/>
  <c r="T553" i="26" l="1"/>
  <c r="K554" i="26"/>
  <c r="P554" i="26" s="1"/>
  <c r="S552" i="26"/>
  <c r="K555" i="26" l="1"/>
  <c r="P555" i="26" s="1"/>
  <c r="T554" i="26"/>
  <c r="S553" i="26"/>
  <c r="S554" i="26" l="1"/>
  <c r="K556" i="26"/>
  <c r="P556" i="26" s="1"/>
  <c r="T555" i="26"/>
  <c r="S555" i="26" l="1"/>
  <c r="T556" i="26"/>
  <c r="K557" i="26"/>
  <c r="P557" i="26" s="1"/>
  <c r="K558" i="26" l="1"/>
  <c r="P558" i="26" s="1"/>
  <c r="T557" i="26"/>
  <c r="S556" i="26"/>
  <c r="S557" i="26" l="1"/>
  <c r="T558" i="26"/>
  <c r="K559" i="26"/>
  <c r="P559" i="26" s="1"/>
  <c r="S558" i="26" l="1"/>
  <c r="K560" i="26"/>
  <c r="P560" i="26" s="1"/>
  <c r="T559" i="26"/>
  <c r="T560" i="26" l="1"/>
  <c r="K561" i="26"/>
  <c r="P561" i="26" s="1"/>
  <c r="S559" i="26"/>
  <c r="T561" i="26" l="1"/>
  <c r="K562" i="26"/>
  <c r="P562" i="26" s="1"/>
  <c r="S560" i="26"/>
  <c r="K563" i="26" l="1"/>
  <c r="P563" i="26" s="1"/>
  <c r="T562" i="26"/>
  <c r="S561" i="26"/>
  <c r="S562" i="26" l="1"/>
  <c r="K564" i="26"/>
  <c r="P564" i="26" s="1"/>
  <c r="T563" i="26"/>
  <c r="T564" i="26" l="1"/>
  <c r="K565" i="26"/>
  <c r="P565" i="26" s="1"/>
  <c r="S563" i="26"/>
  <c r="T565" i="26" l="1"/>
  <c r="K566" i="26"/>
  <c r="P566" i="26" s="1"/>
  <c r="S564" i="26"/>
  <c r="T566" i="26" l="1"/>
  <c r="K567" i="26"/>
  <c r="P567" i="26" s="1"/>
  <c r="S565" i="26"/>
  <c r="T567" i="26" l="1"/>
  <c r="K568" i="26"/>
  <c r="P568" i="26" s="1"/>
  <c r="S566" i="26"/>
  <c r="T568" i="26" l="1"/>
  <c r="K569" i="26"/>
  <c r="P569" i="26" s="1"/>
  <c r="S567" i="26"/>
  <c r="T569" i="26" l="1"/>
  <c r="K570" i="26"/>
  <c r="P570" i="26" s="1"/>
  <c r="S568" i="26"/>
  <c r="T570" i="26" l="1"/>
  <c r="K571" i="26"/>
  <c r="P571" i="26" s="1"/>
  <c r="S569" i="26"/>
  <c r="T571" i="26" l="1"/>
  <c r="K572" i="26"/>
  <c r="P572" i="26" s="1"/>
  <c r="S570" i="26"/>
  <c r="T572" i="26" l="1"/>
  <c r="K573" i="26"/>
  <c r="P573" i="26" s="1"/>
  <c r="S571" i="26"/>
  <c r="T573" i="26" l="1"/>
  <c r="K574" i="26"/>
  <c r="P574" i="26" s="1"/>
  <c r="S572" i="26"/>
  <c r="T574" i="26" l="1"/>
  <c r="K575" i="26"/>
  <c r="P575" i="26" s="1"/>
  <c r="S573" i="26"/>
  <c r="K576" i="26" l="1"/>
  <c r="P576" i="26" s="1"/>
  <c r="T575" i="26"/>
  <c r="S574" i="26"/>
  <c r="S575" i="26" l="1"/>
  <c r="T576" i="26"/>
  <c r="K577" i="26"/>
  <c r="P577" i="26" s="1"/>
  <c r="S576" i="26" l="1"/>
  <c r="T577" i="26"/>
  <c r="K578" i="26"/>
  <c r="P578" i="26" s="1"/>
  <c r="T578" i="26" l="1"/>
  <c r="S577" i="26"/>
  <c r="S578" i="26" l="1"/>
  <c r="I347" i="26"/>
  <c r="H347" i="26" s="1"/>
  <c r="V333" i="26" s="1"/>
  <c r="W333" i="26" s="1"/>
  <c r="I345" i="26"/>
  <c r="H345" i="26" s="1"/>
  <c r="V325" i="26" s="1"/>
  <c r="W325" i="26" s="1"/>
  <c r="I346" i="26"/>
  <c r="H346" i="26" s="1"/>
  <c r="V329" i="26" s="1"/>
  <c r="W329" i="26" s="1"/>
  <c r="I343" i="26"/>
  <c r="H343" i="26" s="1"/>
  <c r="V317" i="26" s="1"/>
  <c r="W317" i="26" s="1"/>
  <c r="I340" i="26"/>
  <c r="H340" i="26" s="1"/>
  <c r="V305" i="26" s="1"/>
  <c r="W305" i="26" s="1"/>
  <c r="I342" i="26"/>
  <c r="H342" i="26" s="1"/>
  <c r="V313" i="26" s="1"/>
  <c r="W313" i="26" s="1"/>
  <c r="I344" i="26"/>
  <c r="H344" i="26" s="1"/>
  <c r="V321" i="26" s="1"/>
  <c r="W321" i="26" s="1"/>
  <c r="I341" i="26"/>
  <c r="H341" i="26" s="1"/>
  <c r="V309" i="26" s="1"/>
  <c r="W309" i="26" s="1"/>
  <c r="I338" i="26"/>
  <c r="H338" i="26" s="1"/>
  <c r="V297" i="26" s="1"/>
  <c r="W297" i="26" s="1"/>
  <c r="I339" i="26"/>
  <c r="H339" i="26" s="1"/>
  <c r="V301" i="26" s="1"/>
  <c r="W301" i="26" s="1"/>
  <c r="V404" i="26" l="1"/>
  <c r="U409" i="26"/>
  <c r="V409" i="2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Adriano Moraes</author>
    <author>Gabriel Cruz</author>
    <author>Refrapi</author>
    <author>mi020832</author>
  </authors>
  <commentList>
    <comment ref="B20" authorId="0" shapeId="0" xr:uid="{616EE593-7A7C-4326-BDD7-146A011B1ED5}">
      <text>
        <r>
          <rPr>
            <b/>
            <sz val="9"/>
            <color indexed="81"/>
            <rFont val="Segoe UI"/>
            <family val="2"/>
          </rPr>
          <t>ÁREA / ESPESSURA</t>
        </r>
      </text>
    </comment>
    <comment ref="B21" authorId="0" shapeId="0" xr:uid="{AEAE1009-7479-4868-9772-5AEDB5C4D6EA}">
      <text>
        <r>
          <rPr>
            <b/>
            <sz val="9"/>
            <color indexed="81"/>
            <rFont val="Segoe UI"/>
            <family val="2"/>
          </rPr>
          <t>VOLUME</t>
        </r>
      </text>
    </comment>
    <comment ref="B43" authorId="0" shapeId="0" xr:uid="{39A632F5-12BA-4BD9-974A-A06668DB6961}">
      <text>
        <r>
          <rPr>
            <b/>
            <sz val="9"/>
            <color indexed="81"/>
            <rFont val="Segoe UI"/>
            <family val="2"/>
          </rPr>
          <t>VOLUME</t>
        </r>
      </text>
    </comment>
    <comment ref="B44" authorId="0" shapeId="0" xr:uid="{056D5C78-24B8-4719-9CA6-10197065049F}">
      <text>
        <r>
          <rPr>
            <b/>
            <sz val="9"/>
            <color indexed="81"/>
            <rFont val="Segoe UI"/>
            <family val="2"/>
          </rPr>
          <t>ÁREA X ESPESSURA</t>
        </r>
      </text>
    </comment>
    <comment ref="B51" authorId="0" shapeId="0" xr:uid="{E98E126E-E9D5-4357-817A-5DA35D974CC0}">
      <text>
        <r>
          <rPr>
            <b/>
            <sz val="9"/>
            <color indexed="81"/>
            <rFont val="Segoe UI"/>
            <family val="2"/>
          </rPr>
          <t>VOLUME</t>
        </r>
      </text>
    </comment>
    <comment ref="B52" authorId="0" shapeId="0" xr:uid="{FBE52CEC-DF4F-4A8A-BEBB-BC8701764A7F}">
      <text>
        <r>
          <rPr>
            <b/>
            <sz val="9"/>
            <color indexed="81"/>
            <rFont val="Segoe UI"/>
            <family val="2"/>
          </rPr>
          <t>ÁREA X ESPESSURA</t>
        </r>
      </text>
    </comment>
    <comment ref="B69" authorId="0" shapeId="0" xr:uid="{8ABA8458-828D-4E4E-A2F5-3CC6C03F12A7}">
      <text>
        <r>
          <rPr>
            <b/>
            <sz val="9"/>
            <color indexed="81"/>
            <rFont val="Segoe UI"/>
            <family val="2"/>
          </rPr>
          <t>Área / espaçamento</t>
        </r>
      </text>
    </comment>
    <comment ref="B70" authorId="0" shapeId="0" xr:uid="{442DE7EF-8F77-45FF-8235-CAA99EB0D3A9}">
      <text>
        <r>
          <rPr>
            <b/>
            <sz val="9"/>
            <color indexed="81"/>
            <rFont val="Segoe UI"/>
            <family val="2"/>
          </rPr>
          <t>Anel cilíndrico</t>
        </r>
      </text>
    </comment>
    <comment ref="B71" authorId="0" shapeId="0" xr:uid="{184D0939-54CC-4A71-8FB1-AAFFFC4F32F8}">
      <text>
        <r>
          <rPr>
            <b/>
            <sz val="9"/>
            <color indexed="81"/>
            <rFont val="Segoe UI"/>
            <family val="2"/>
          </rPr>
          <t>Cilindro (Diametro x altura / espaçamento)</t>
        </r>
      </text>
    </comment>
    <comment ref="B78" authorId="0" shapeId="0" xr:uid="{5614D2E8-7EAE-4F58-B526-AEDC6C69C9AE}">
      <text>
        <r>
          <rPr>
            <b/>
            <sz val="9"/>
            <color indexed="81"/>
            <rFont val="Segoe UI"/>
            <family val="2"/>
          </rPr>
          <t>Área / espaçamento</t>
        </r>
      </text>
    </comment>
    <comment ref="B79" authorId="0" shapeId="0" xr:uid="{B64CF684-D01E-4CC6-B42D-D6FB02549525}">
      <text>
        <r>
          <rPr>
            <b/>
            <sz val="9"/>
            <color indexed="81"/>
            <rFont val="Segoe UI"/>
            <family val="2"/>
          </rPr>
          <t>Anel cilíndrico</t>
        </r>
      </text>
    </comment>
    <comment ref="B80" authorId="0" shapeId="0" xr:uid="{82F1F5E9-4E84-430C-8694-CE1D1535D57C}">
      <text>
        <r>
          <rPr>
            <b/>
            <sz val="9"/>
            <color indexed="81"/>
            <rFont val="Segoe UI"/>
            <family val="2"/>
          </rPr>
          <t>Cilindro (Diametro x altura / espaçamento)</t>
        </r>
      </text>
    </comment>
    <comment ref="R92" authorId="1" shapeId="0" xr:uid="{0706081E-05BE-4B59-AF9D-86321CF28EB1}">
      <text>
        <r>
          <rPr>
            <b/>
            <sz val="9"/>
            <color indexed="81"/>
            <rFont val="Segoe UI"/>
            <family val="2"/>
          </rPr>
          <t>Gabriel Cruz:</t>
        </r>
        <r>
          <rPr>
            <sz val="9"/>
            <color indexed="81"/>
            <rFont val="Segoe UI"/>
            <family val="2"/>
          </rPr>
          <t xml:space="preserve">
Considerar a altura da manta que irá envolver todo o metálico
Dúvidas procurar Adriano</t>
        </r>
      </text>
    </comment>
    <comment ref="B101" authorId="2" shapeId="0" xr:uid="{0C68BF3B-F350-470B-8E13-74C86ADF3C33}">
      <text>
        <r>
          <rPr>
            <b/>
            <sz val="8"/>
            <color indexed="81"/>
            <rFont val="Tahoma"/>
            <family val="2"/>
          </rPr>
          <t>ÂNCORA METÁLICA (50%)</t>
        </r>
      </text>
    </comment>
    <comment ref="B102" authorId="2" shapeId="0" xr:uid="{1ACE2305-645C-4543-8673-1463C7FA5830}">
      <text>
        <r>
          <rPr>
            <b/>
            <sz val="8"/>
            <color indexed="81"/>
            <rFont val="Tahoma"/>
            <family val="2"/>
          </rPr>
          <t>ÂNCORA CERÂMICA (100%)</t>
        </r>
      </text>
    </comment>
    <comment ref="B109" authorId="0" shapeId="0" xr:uid="{ACAA17E4-3918-4A48-804E-897D89F0C689}">
      <text>
        <r>
          <rPr>
            <b/>
            <sz val="9"/>
            <color indexed="81"/>
            <rFont val="Segoe UI"/>
            <family val="2"/>
          </rPr>
          <t>ÁREA / ESPESSURA</t>
        </r>
      </text>
    </comment>
    <comment ref="B110" authorId="0" shapeId="0" xr:uid="{AED58FB1-E901-4466-AA37-352A6F6AF234}">
      <text>
        <r>
          <rPr>
            <b/>
            <sz val="9"/>
            <color indexed="81"/>
            <rFont val="Segoe UI"/>
            <family val="2"/>
          </rPr>
          <t>VOLUME</t>
        </r>
      </text>
    </comment>
    <comment ref="V124" authorId="3" shapeId="0" xr:uid="{3768E28F-D564-4E7D-93D8-A287C07523B6}">
      <text>
        <r>
          <rPr>
            <sz val="9"/>
            <color indexed="81"/>
            <rFont val="Tahoma"/>
            <family val="2"/>
          </rPr>
          <t>O VALOR DESSA CÉLULA DEPENDERÁ DO VALOR ENCONTRADO EM NX, EDITAR CONFORME</t>
        </r>
      </text>
    </comment>
    <comment ref="V128" authorId="3" shapeId="0" xr:uid="{723579F5-BA3C-44B2-82DB-91210871D8DD}">
      <text>
        <r>
          <rPr>
            <sz val="9"/>
            <color indexed="81"/>
            <rFont val="Tahoma"/>
            <family val="2"/>
          </rPr>
          <t>O VALOR DESSA CÉLULA DEPENDERÁ DO VALOR ENCONTRADO EM NX, EDITAR CONFORME</t>
        </r>
      </text>
    </comment>
    <comment ref="V149" authorId="3" shapeId="0" xr:uid="{B8497DD0-9343-47BF-8FB6-C43862A8C34A}">
      <text>
        <r>
          <rPr>
            <sz val="9"/>
            <color indexed="81"/>
            <rFont val="Tahoma"/>
            <family val="2"/>
          </rPr>
          <t>O VALOR DESSA CÉLULA DEPENDERÁ DO VALOR ENCONTRADO EM NX, EDITAR CONFORME</t>
        </r>
      </text>
    </comment>
    <comment ref="V153" authorId="3" shapeId="0" xr:uid="{2A66E22F-2F11-463D-BFFA-E46DC8DB8BD4}">
      <text>
        <r>
          <rPr>
            <sz val="9"/>
            <color indexed="81"/>
            <rFont val="Tahoma"/>
            <family val="2"/>
          </rPr>
          <t>O VALOR DESSA CÉLULA DEPENDERÁ DO VALOR ENCONTRADO EM NX, EDITAR CONFORME</t>
        </r>
      </text>
    </comment>
    <comment ref="R223" authorId="1" shapeId="0" xr:uid="{08571F4E-A476-4EEE-BF55-FFEF2BBCD0C0}">
      <text>
        <r>
          <rPr>
            <b/>
            <sz val="9"/>
            <color indexed="81"/>
            <rFont val="Segoe UI"/>
            <family val="2"/>
          </rPr>
          <t>Gabriel Cruz:</t>
        </r>
        <r>
          <rPr>
            <sz val="9"/>
            <color indexed="81"/>
            <rFont val="Segoe UI"/>
            <family val="2"/>
          </rPr>
          <t xml:space="preserve">
Use a opção "Inclinado" em caso de revestimento que está perpendicular a carcaça.
Qualquer duvida pode me procurar ou o Adriano.</t>
        </r>
      </text>
    </comment>
    <comment ref="V223" authorId="3" shapeId="0" xr:uid="{B4E6611C-B355-4675-B1C7-90901821FD78}">
      <text>
        <r>
          <rPr>
            <sz val="9"/>
            <color indexed="81"/>
            <rFont val="Tahoma"/>
            <family val="2"/>
          </rPr>
          <t>O VALOR DESSA CÉLULA DEPENDERÁ DO VALOR ENCONTRADO EM NX, EDITAR CONFORME</t>
        </r>
      </text>
    </comment>
    <comment ref="V227" authorId="3" shapeId="0" xr:uid="{3DCC5860-257B-4F16-909B-D97DC7A02DBF}">
      <text>
        <r>
          <rPr>
            <sz val="9"/>
            <color indexed="81"/>
            <rFont val="Tahoma"/>
            <family val="2"/>
          </rPr>
          <t>O VALOR DESSA CÉLULA DEPENDERÁ DO VALOR ENCONTRADO EM NX, EDITAR CONFORME</t>
        </r>
      </text>
    </comment>
    <comment ref="V493" authorId="3" shapeId="0" xr:uid="{46F867BD-80E2-40A8-A112-8F84FE86B243}">
      <text>
        <r>
          <rPr>
            <sz val="9"/>
            <color indexed="81"/>
            <rFont val="Tahoma"/>
            <family val="2"/>
          </rPr>
          <t>O VALOR DESSA CÉLULA DEPENDERÁ DO VALOR ENCONTRADO EM NX, EDITAR CONFORME</t>
        </r>
      </text>
    </comment>
    <comment ref="V518" authorId="3" shapeId="0" xr:uid="{16E668C0-50B8-4EF6-80BC-88D880B2A01F}">
      <text>
        <r>
          <rPr>
            <sz val="9"/>
            <color indexed="81"/>
            <rFont val="Tahoma"/>
            <family val="2"/>
          </rPr>
          <t>O VALOR DESSA CÉLULA DEPENDERÁ DO VALOR ENCONTRADO EM NX, EDITAR CONFORME</t>
        </r>
      </text>
    </comment>
    <comment ref="B595" authorId="0" shapeId="0" xr:uid="{B535D516-5D98-4DFC-B6EF-C9697A5132E6}">
      <text>
        <r>
          <rPr>
            <b/>
            <sz val="9"/>
            <color indexed="81"/>
            <rFont val="Segoe UI"/>
            <family val="2"/>
          </rPr>
          <t>ÁREA / ESPESSURA</t>
        </r>
      </text>
    </comment>
    <comment ref="B596" authorId="0" shapeId="0" xr:uid="{BAA4F99F-575D-4374-89D4-8BC1BF211ED4}">
      <text>
        <r>
          <rPr>
            <b/>
            <sz val="9"/>
            <color indexed="81"/>
            <rFont val="Segoe UI"/>
            <family val="2"/>
          </rPr>
          <t>VOLUME</t>
        </r>
      </text>
    </comment>
    <comment ref="B611" authorId="2" shapeId="0" xr:uid="{BC2C5BF7-913F-436E-B2D3-9ED2D3E538CA}">
      <text>
        <r>
          <rPr>
            <b/>
            <sz val="8"/>
            <color indexed="81"/>
            <rFont val="Tahoma"/>
            <family val="2"/>
          </rPr>
          <t>VOLUME 3D</t>
        </r>
      </text>
    </comment>
    <comment ref="V615" authorId="3" shapeId="0" xr:uid="{539406B2-0CCD-4BB8-BB3A-BFA3FA8CC6B4}">
      <text>
        <r>
          <rPr>
            <sz val="9"/>
            <color indexed="81"/>
            <rFont val="Tahoma"/>
            <family val="2"/>
          </rPr>
          <t>O VALOR DESSA CÉLULA DEPENDERÁ DO VALOR ENCONTRADO EM NX, EDITAR CONFORME</t>
        </r>
      </text>
    </comment>
    <comment ref="V619" authorId="3" shapeId="0" xr:uid="{C4FB48F0-371A-4C18-8DAC-9C6DBB81A441}">
      <text>
        <r>
          <rPr>
            <sz val="9"/>
            <color indexed="81"/>
            <rFont val="Tahoma"/>
            <family val="2"/>
          </rPr>
          <t>O VALOR DESSA CÉLULA DEPENDERÁ DO VALOR ENCONTRADO EM NX, EDITAR CONFORME</t>
        </r>
      </text>
    </comment>
    <comment ref="B656" authorId="0" shapeId="0" xr:uid="{33E09553-3CE1-4D9B-B9BC-0B0FB6FF7BE5}">
      <text>
        <r>
          <rPr>
            <b/>
            <sz val="9"/>
            <color indexed="81"/>
            <rFont val="Segoe UI"/>
            <family val="2"/>
          </rPr>
          <t>ÁREA / ESPESSURA</t>
        </r>
      </text>
    </comment>
    <comment ref="B657" authorId="0" shapeId="0" xr:uid="{EDFEF08C-5560-420E-8F10-6D5E2B9B137D}">
      <text>
        <r>
          <rPr>
            <b/>
            <sz val="9"/>
            <color indexed="81"/>
            <rFont val="Segoe UI"/>
            <family val="2"/>
          </rPr>
          <t>VOLUME</t>
        </r>
      </text>
    </comment>
    <comment ref="B679" authorId="0" shapeId="0" xr:uid="{3D2B0C0E-3D52-4735-8A6C-E021C5EC8AD5}">
      <text>
        <r>
          <rPr>
            <b/>
            <sz val="9"/>
            <color indexed="81"/>
            <rFont val="Segoe UI"/>
            <family val="2"/>
          </rPr>
          <t>VOLUME</t>
        </r>
      </text>
    </comment>
    <comment ref="B680" authorId="0" shapeId="0" xr:uid="{3D4FF21C-3239-4994-8DEC-40CB896FF804}">
      <text>
        <r>
          <rPr>
            <b/>
            <sz val="9"/>
            <color indexed="81"/>
            <rFont val="Segoe UI"/>
            <family val="2"/>
          </rPr>
          <t>ÁREA X ESPESSURA</t>
        </r>
      </text>
    </comment>
    <comment ref="B687" authorId="0" shapeId="0" xr:uid="{3D5AFA37-241D-422B-86DE-44BCF5F787E8}">
      <text>
        <r>
          <rPr>
            <b/>
            <sz val="9"/>
            <color indexed="81"/>
            <rFont val="Segoe UI"/>
            <family val="2"/>
          </rPr>
          <t>VOLUME</t>
        </r>
      </text>
    </comment>
    <comment ref="B688" authorId="0" shapeId="0" xr:uid="{A358B5FE-AA12-43E0-8EFC-D98058DC8A37}">
      <text>
        <r>
          <rPr>
            <b/>
            <sz val="9"/>
            <color indexed="81"/>
            <rFont val="Segoe UI"/>
            <family val="2"/>
          </rPr>
          <t>ÁREA X ESPESSURA</t>
        </r>
      </text>
    </comment>
    <comment ref="B705" authorId="0" shapeId="0" xr:uid="{F09734E3-4F88-46D1-8F62-5C3E982670EF}">
      <text>
        <r>
          <rPr>
            <b/>
            <sz val="9"/>
            <color indexed="81"/>
            <rFont val="Segoe UI"/>
            <family val="2"/>
          </rPr>
          <t>Área / espaçamento</t>
        </r>
      </text>
    </comment>
    <comment ref="B706" authorId="0" shapeId="0" xr:uid="{905323EB-DA47-4EAB-B802-073F0A76ACED}">
      <text>
        <r>
          <rPr>
            <b/>
            <sz val="9"/>
            <color indexed="81"/>
            <rFont val="Segoe UI"/>
            <family val="2"/>
          </rPr>
          <t>Anel cilíndrico</t>
        </r>
      </text>
    </comment>
    <comment ref="B707" authorId="0" shapeId="0" xr:uid="{77234A56-1123-44A0-9650-50B0388FF12F}">
      <text>
        <r>
          <rPr>
            <b/>
            <sz val="9"/>
            <color indexed="81"/>
            <rFont val="Segoe UI"/>
            <family val="2"/>
          </rPr>
          <t>Cilindro (Diametro x altura / espaçamento)</t>
        </r>
      </text>
    </comment>
    <comment ref="B714" authorId="0" shapeId="0" xr:uid="{B7DAE8B6-F318-4BAB-92CE-C702DB063C2B}">
      <text>
        <r>
          <rPr>
            <b/>
            <sz val="9"/>
            <color indexed="81"/>
            <rFont val="Segoe UI"/>
            <family val="2"/>
          </rPr>
          <t>Área / espaçamento</t>
        </r>
      </text>
    </comment>
    <comment ref="B715" authorId="0" shapeId="0" xr:uid="{684E9084-5F8F-4FF4-A3DC-80384EEF40F5}">
      <text>
        <r>
          <rPr>
            <b/>
            <sz val="9"/>
            <color indexed="81"/>
            <rFont val="Segoe UI"/>
            <family val="2"/>
          </rPr>
          <t>Anel cilíndrico</t>
        </r>
      </text>
    </comment>
    <comment ref="B716" authorId="0" shapeId="0" xr:uid="{2009FA18-18CD-4427-9B0F-F0BE86719A96}">
      <text>
        <r>
          <rPr>
            <b/>
            <sz val="9"/>
            <color indexed="81"/>
            <rFont val="Segoe UI"/>
            <family val="2"/>
          </rPr>
          <t>Cilindro (Diametro x altura / espaçamento)</t>
        </r>
      </text>
    </comment>
    <comment ref="R728" authorId="1" shapeId="0" xr:uid="{4E6226D5-DC26-4AEC-8795-2FB0D421252F}">
      <text>
        <r>
          <rPr>
            <b/>
            <sz val="9"/>
            <color indexed="81"/>
            <rFont val="Segoe UI"/>
            <family val="2"/>
          </rPr>
          <t>Gabriel Cruz:</t>
        </r>
        <r>
          <rPr>
            <sz val="9"/>
            <color indexed="81"/>
            <rFont val="Segoe UI"/>
            <family val="2"/>
          </rPr>
          <t xml:space="preserve">
Considerar a altura da manta que irá envolver todo o metálico
Dúvidas procurar Adriano</t>
        </r>
      </text>
    </comment>
    <comment ref="B737" authorId="2" shapeId="0" xr:uid="{3A33F986-5196-4336-9B3A-F6386ABF27E6}">
      <text>
        <r>
          <rPr>
            <b/>
            <sz val="8"/>
            <color indexed="81"/>
            <rFont val="Tahoma"/>
            <family val="2"/>
          </rPr>
          <t>ÂNCORA METÁLICA (50%)</t>
        </r>
      </text>
    </comment>
    <comment ref="B738" authorId="2" shapeId="0" xr:uid="{5F8F5E0C-1A73-4F2B-AE52-ACD269A07E5B}">
      <text>
        <r>
          <rPr>
            <b/>
            <sz val="8"/>
            <color indexed="81"/>
            <rFont val="Tahoma"/>
            <family val="2"/>
          </rPr>
          <t>ÂNCORA CERÂMICA (100%)</t>
        </r>
      </text>
    </comment>
    <comment ref="B745" authorId="0" shapeId="0" xr:uid="{004C179A-294E-4422-B410-7EE69E5DB9A6}">
      <text>
        <r>
          <rPr>
            <b/>
            <sz val="9"/>
            <color indexed="81"/>
            <rFont val="Segoe UI"/>
            <family val="2"/>
          </rPr>
          <t>ÁREA / ESPESSURA</t>
        </r>
      </text>
    </comment>
    <comment ref="B746" authorId="0" shapeId="0" xr:uid="{9B4945AE-0C07-444D-A0F6-C1A51A4A7FED}">
      <text>
        <r>
          <rPr>
            <b/>
            <sz val="9"/>
            <color indexed="81"/>
            <rFont val="Segoe UI"/>
            <family val="2"/>
          </rPr>
          <t>VOLUME</t>
        </r>
      </text>
    </comment>
    <comment ref="V760" authorId="3" shapeId="0" xr:uid="{64966DF4-2AEE-4C68-B93E-D5BAEB6809B5}">
      <text>
        <r>
          <rPr>
            <sz val="9"/>
            <color indexed="81"/>
            <rFont val="Tahoma"/>
            <family val="2"/>
          </rPr>
          <t>O VALOR DESSA CÉLULA DEPENDERÁ DO VALOR ENCONTRADO EM NX, EDITAR CONFORME</t>
        </r>
      </text>
    </comment>
    <comment ref="V764" authorId="3" shapeId="0" xr:uid="{573313AA-9335-4946-8526-5F834C7B3F3F}">
      <text>
        <r>
          <rPr>
            <sz val="9"/>
            <color indexed="81"/>
            <rFont val="Tahoma"/>
            <family val="2"/>
          </rPr>
          <t>O VALOR DESSA CÉLULA DEPENDERÁ DO VALOR ENCONTRADO EM NX, EDITAR CONFORME</t>
        </r>
      </text>
    </comment>
    <comment ref="V785" authorId="3" shapeId="0" xr:uid="{58274B68-1BD1-4C4B-893A-38607799927F}">
      <text>
        <r>
          <rPr>
            <sz val="9"/>
            <color indexed="81"/>
            <rFont val="Tahoma"/>
            <family val="2"/>
          </rPr>
          <t>O VALOR DESSA CÉLULA DEPENDERÁ DO VALOR ENCONTRADO EM NX, EDITAR CONFORME</t>
        </r>
      </text>
    </comment>
    <comment ref="V789" authorId="3" shapeId="0" xr:uid="{360313C9-0F53-49F3-BCA4-965219E1CF70}">
      <text>
        <r>
          <rPr>
            <sz val="9"/>
            <color indexed="81"/>
            <rFont val="Tahoma"/>
            <family val="2"/>
          </rPr>
          <t>O VALOR DESSA CÉLULA DEPENDERÁ DO VALOR ENCONTRADO EM NX, EDITAR CONFORME</t>
        </r>
      </text>
    </comment>
    <comment ref="R859" authorId="1" shapeId="0" xr:uid="{E82E1CE5-9B32-400C-BC54-801DCEFDE01E}">
      <text>
        <r>
          <rPr>
            <b/>
            <sz val="9"/>
            <color indexed="81"/>
            <rFont val="Segoe UI"/>
            <family val="2"/>
          </rPr>
          <t>Gabriel Cruz:</t>
        </r>
        <r>
          <rPr>
            <sz val="9"/>
            <color indexed="81"/>
            <rFont val="Segoe UI"/>
            <family val="2"/>
          </rPr>
          <t xml:space="preserve">
Use a opção "Inclinado" em caso de revestimento que está perpendicular a carcaça.
Qualquer duvida pode me procurar ou o Adriano.</t>
        </r>
      </text>
    </comment>
    <comment ref="V859" authorId="3" shapeId="0" xr:uid="{B55C0282-5693-4174-956D-5608860011C3}">
      <text>
        <r>
          <rPr>
            <sz val="9"/>
            <color indexed="81"/>
            <rFont val="Tahoma"/>
            <family val="2"/>
          </rPr>
          <t>O VALOR DESSA CÉLULA DEPENDERÁ DO VALOR ENCONTRADO EM NX, EDITAR CONFORME</t>
        </r>
      </text>
    </comment>
    <comment ref="V863" authorId="3" shapeId="0" xr:uid="{6B029D2F-7A54-4995-AC5E-E6715DE90512}">
      <text>
        <r>
          <rPr>
            <sz val="9"/>
            <color indexed="81"/>
            <rFont val="Tahoma"/>
            <family val="2"/>
          </rPr>
          <t>O VALOR DESSA CÉLULA DEPENDERÁ DO VALOR ENCONTRADO EM NX, EDITAR CONFORME</t>
        </r>
      </text>
    </comment>
    <comment ref="V1129" authorId="3" shapeId="0" xr:uid="{EF26BAF6-AD2D-4F6B-95CE-45FE30BE7EDF}">
      <text>
        <r>
          <rPr>
            <sz val="9"/>
            <color indexed="81"/>
            <rFont val="Tahoma"/>
            <family val="2"/>
          </rPr>
          <t>O VALOR DESSA CÉLULA DEPENDERÁ DO VALOR ENCONTRADO EM NX, EDITAR CONFORME</t>
        </r>
      </text>
    </comment>
    <comment ref="V1154" authorId="3" shapeId="0" xr:uid="{72058FBE-894C-475B-8566-C2F27F85A780}">
      <text>
        <r>
          <rPr>
            <sz val="9"/>
            <color indexed="81"/>
            <rFont val="Tahoma"/>
            <family val="2"/>
          </rPr>
          <t>O VALOR DESSA CÉLULA DEPENDERÁ DO VALOR ENCONTRADO EM NX, EDITAR CONFORME</t>
        </r>
      </text>
    </comment>
    <comment ref="B1231" authorId="0" shapeId="0" xr:uid="{9B50C16F-5019-4ECD-8C8D-AEBAC61EFABA}">
      <text>
        <r>
          <rPr>
            <b/>
            <sz val="9"/>
            <color indexed="81"/>
            <rFont val="Segoe UI"/>
            <family val="2"/>
          </rPr>
          <t>ÁREA / ESPESSURA</t>
        </r>
      </text>
    </comment>
    <comment ref="B1232" authorId="0" shapeId="0" xr:uid="{66C449B8-1E4F-4475-95BE-D9224E824FDB}">
      <text>
        <r>
          <rPr>
            <b/>
            <sz val="9"/>
            <color indexed="81"/>
            <rFont val="Segoe UI"/>
            <family val="2"/>
          </rPr>
          <t>VOLUME</t>
        </r>
      </text>
    </comment>
    <comment ref="B1247" authorId="2" shapeId="0" xr:uid="{21EEA724-5B3E-4F66-AE83-A6CDC34534EB}">
      <text>
        <r>
          <rPr>
            <b/>
            <sz val="8"/>
            <color indexed="81"/>
            <rFont val="Tahoma"/>
            <family val="2"/>
          </rPr>
          <t>VOLUME 3D</t>
        </r>
      </text>
    </comment>
    <comment ref="V1251" authorId="3" shapeId="0" xr:uid="{37A3C1C5-97C1-4A3E-AED1-9392AEC4FF00}">
      <text>
        <r>
          <rPr>
            <sz val="9"/>
            <color indexed="81"/>
            <rFont val="Tahoma"/>
            <family val="2"/>
          </rPr>
          <t>O VALOR DESSA CÉLULA DEPENDERÁ DO VALOR ENCONTRADO EM NX, EDITAR CONFORME</t>
        </r>
      </text>
    </comment>
    <comment ref="V1255" authorId="3" shapeId="0" xr:uid="{7A86738F-DA7E-4541-8013-CC9C9966D260}">
      <text>
        <r>
          <rPr>
            <sz val="9"/>
            <color indexed="81"/>
            <rFont val="Tahoma"/>
            <family val="2"/>
          </rPr>
          <t>O VALOR DESSA CÉLULA DEPENDERÁ DO VALOR ENCONTRADO EM NX, EDITAR CONFORME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Gabriel Cruz</author>
  </authors>
  <commentList>
    <comment ref="C8" authorId="0" shapeId="0" xr:uid="{02301ACA-843C-444B-91AF-B0E453190029}">
      <text>
        <r>
          <rPr>
            <b/>
            <sz val="9"/>
            <color indexed="81"/>
            <rFont val="Segoe UI"/>
            <family val="2"/>
          </rPr>
          <t>Gabriel Cruz:</t>
        </r>
        <r>
          <rPr>
            <sz val="9"/>
            <color indexed="81"/>
            <rFont val="Segoe UI"/>
            <family val="2"/>
          </rPr>
          <t xml:space="preserve">
Caso o programa seja interrompido antes do final do preenchimento, você pode selecionar o item que deve ser preenchido em seguida e carregar o código novamente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52B1A67-83FE-4B72-B89E-0DE1D9B6F52E}" keepAlive="1" name="Consulta - AUTOMATIC_SAP" description="Conexão com a consulta 'AUTOMATIC_SAP' na pasta de trabalho." type="5" refreshedVersion="0" background="1">
    <dbPr connection="Provider=Microsoft.Mashup.OleDb.1;Data Source=$Workbook$;Location=AUTOMATIC_SAP;Extended Properties=&quot;&quot;" command="SELECT * FROM [AUTOMATIC_SAP]"/>
  </connection>
  <connection id="2" xr16:uid="{0CE0A239-66C0-426A-9771-625E6D04EABC}" keepAlive="1" name="Consulta - BRANDS" description="Conexão com a consulta 'BRANDS' na pasta de trabalho." type="5" refreshedVersion="8" background="1" saveData="1">
    <dbPr connection="Provider=Microsoft.Mashup.OleDb.1;Data Source=$Workbook$;Location=BRANDS;Extended Properties=&quot;&quot;" command="SELECT * FROM [BRANDS]"/>
  </connection>
  <connection id="3" xr16:uid="{D579E216-675F-470A-94D8-4CE3AC2A662B}" keepAlive="1" name="Consulta - END_CODE" description="Conexão com a consulta 'END_CODE' na pasta de trabalho." type="5" refreshedVersion="0" background="1">
    <dbPr connection="Provider=Microsoft.Mashup.OleDb.1;Data Source=$Workbook$;Location=END_CODE;Extended Properties=&quot;&quot;" command="SELECT * FROM [END_CODE]"/>
  </connection>
  <connection id="4" xr16:uid="{0C7CB4B1-011A-4AAC-BD38-D92BA6508D5E}" keepAlive="1" name="Consulta - FINAL_CODE" description="Conexão com a consulta 'FINAL_CODE' na pasta de trabalho." type="5" refreshedVersion="8" background="1" saveData="1">
    <dbPr connection="Provider=Microsoft.Mashup.OleDb.1;Data Source=$Workbook$;Location=FINAL_CODE;Extended Properties=&quot;&quot;" command="SELECT * FROM [FINAL_CODE]"/>
  </connection>
  <connection id="5" xr16:uid="{2AD7ABE1-1445-4722-B14E-65A78C7D701D}" keepAlive="1" name="Consulta - ITEM_REFERENCE" description="Conexão com a consulta 'ITEM_REFERENCE' na pasta de trabalho." type="5" refreshedVersion="8" background="1" saveData="1">
    <dbPr connection="Provider=Microsoft.Mashup.OleDb.1;Data Source=$Workbook$;Location=ITEM_REFERENCE;Extended Properties=&quot;&quot;" command="SELECT * FROM [ITEM_REFERENCE]"/>
  </connection>
  <connection id="6" xr16:uid="{D4E335AB-2ACA-40D4-AC49-8F5383BFC25E}" keepAlive="1" name="Consulta - MANUAL_SAP" description="Conexão com a consulta 'MANUAL_SAP' na pasta de trabalho." type="5" refreshedVersion="8" background="1" saveData="1">
    <dbPr connection="Provider=Microsoft.Mashup.OleDb.1;Data Source=$Workbook$;Location=MANUAL_SAP;Extended Properties=&quot;&quot;" command="SELECT * FROM [MANUAL_SAP]"/>
  </connection>
  <connection id="7" xr16:uid="{6B3E3E49-B569-4E07-AF95-0C82E7FE52FE}" keepAlive="1" name="Consulta - SHAPES" description="Conexão com a consulta 'SHAPES' na pasta de trabalho." type="5" refreshedVersion="8" background="1" saveData="1">
    <dbPr connection="Provider=Microsoft.Mashup.OleDb.1;Data Source=$Workbook$;Location=SHAPES;Extended Properties=&quot;&quot;" command="SELECT * FROM [SHAPE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<sst xmlns="http://schemas.openxmlformats.org/spreadsheetml/2006/main" count="8867" uniqueCount="2409">
  <si>
    <t>Especificações</t>
  </si>
  <si>
    <t>pç</t>
  </si>
  <si>
    <t>kg</t>
  </si>
  <si>
    <t>Formatos</t>
  </si>
  <si>
    <t>Comprimento</t>
  </si>
  <si>
    <t>Sigla</t>
  </si>
  <si>
    <t>Largura</t>
  </si>
  <si>
    <t>A1</t>
  </si>
  <si>
    <t>Medida &gt;</t>
  </si>
  <si>
    <t>Medida &lt;</t>
  </si>
  <si>
    <t>Volume</t>
  </si>
  <si>
    <t>V. Paralelo</t>
  </si>
  <si>
    <t>V. Arco/Cunha</t>
  </si>
  <si>
    <t>V. Radial</t>
  </si>
  <si>
    <t>m²</t>
  </si>
  <si>
    <t>A2</t>
  </si>
  <si>
    <t>-</t>
  </si>
  <si>
    <t>Comp.</t>
  </si>
  <si>
    <t>B825</t>
  </si>
  <si>
    <t>B725</t>
  </si>
  <si>
    <t>SKAMOL SUPER 1100 E</t>
  </si>
  <si>
    <t>ASTM A-36</t>
  </si>
  <si>
    <t>A</t>
  </si>
  <si>
    <t>Rev.</t>
  </si>
  <si>
    <t>Descrição</t>
  </si>
  <si>
    <t>Un.</t>
  </si>
  <si>
    <t>Sub-total</t>
  </si>
  <si>
    <t>Total</t>
  </si>
  <si>
    <t>CÁLCULO DE QUANTIDADE RECOMENDADA</t>
  </si>
  <si>
    <t>dm³</t>
  </si>
  <si>
    <t>Tipo de Unidade</t>
  </si>
  <si>
    <t>kilogramas</t>
  </si>
  <si>
    <t>peças</t>
  </si>
  <si>
    <t>decímetros cúbicos</t>
  </si>
  <si>
    <t>metro linear</t>
  </si>
  <si>
    <t>m</t>
  </si>
  <si>
    <t>litros</t>
  </si>
  <si>
    <t>Class.</t>
  </si>
  <si>
    <t>Qtde</t>
  </si>
  <si>
    <t>Coefic. (%)</t>
  </si>
  <si>
    <t>Área (mm²)</t>
  </si>
  <si>
    <t>Volume (mm³)</t>
  </si>
  <si>
    <t>Esp. Tij.</t>
  </si>
  <si>
    <t>Comp. Tij.</t>
  </si>
  <si>
    <t>Larg. Tij.</t>
  </si>
  <si>
    <t>Esp. Revest.</t>
  </si>
  <si>
    <t>Junta</t>
  </si>
  <si>
    <t>Tipo Fator</t>
  </si>
  <si>
    <t>B</t>
  </si>
  <si>
    <t>C</t>
  </si>
  <si>
    <t>D</t>
  </si>
  <si>
    <t>Ø Externo</t>
  </si>
  <si>
    <t>Ø Interno</t>
  </si>
  <si>
    <t>Ângulo</t>
  </si>
  <si>
    <t>NX</t>
  </si>
  <si>
    <t>NY</t>
  </si>
  <si>
    <t>kg/dm³</t>
  </si>
  <si>
    <t>NC</t>
  </si>
  <si>
    <t>AÇO GALVANIZADO</t>
  </si>
  <si>
    <t>Calc. Radial</t>
  </si>
  <si>
    <t>Valor Comp.</t>
  </si>
  <si>
    <t>ø FECHAMENTO</t>
  </si>
  <si>
    <t>Fiadas</t>
  </si>
  <si>
    <t>CÁLCULO A.F.</t>
  </si>
  <si>
    <t>JUNTA ø FECHAM.</t>
  </si>
  <si>
    <t>Espessura</t>
  </si>
  <si>
    <t>Separação de Região</t>
  </si>
  <si>
    <t>Diâm/Comp.</t>
  </si>
  <si>
    <t>Espaç. Rad.</t>
  </si>
  <si>
    <t>Espaç. Long.</t>
  </si>
  <si>
    <t>S(mm²)/Alt.(pç)</t>
  </si>
  <si>
    <t>NOME DAS REGIÕES</t>
  </si>
  <si>
    <t>SILPLATE 1308</t>
  </si>
  <si>
    <t>CAL 815-R (P-77)</t>
  </si>
  <si>
    <t>CAL 1040 (P-99)</t>
  </si>
  <si>
    <t>LT</t>
  </si>
  <si>
    <t>TINTA ANTI-OXIDANTE</t>
  </si>
  <si>
    <t>ISO</t>
  </si>
  <si>
    <t>VDZ</t>
  </si>
  <si>
    <t>B218</t>
  </si>
  <si>
    <t>B318</t>
  </si>
  <si>
    <t>B418</t>
  </si>
  <si>
    <t>B618</t>
  </si>
  <si>
    <t>B220</t>
  </si>
  <si>
    <t>B320</t>
  </si>
  <si>
    <t>B420</t>
  </si>
  <si>
    <t>B620</t>
  </si>
  <si>
    <t>B222</t>
  </si>
  <si>
    <t>B322</t>
  </si>
  <si>
    <t>B422</t>
  </si>
  <si>
    <t>B622</t>
  </si>
  <si>
    <t>B325</t>
  </si>
  <si>
    <t>B425</t>
  </si>
  <si>
    <t>B525</t>
  </si>
  <si>
    <t>B625</t>
  </si>
  <si>
    <t>Cálc.</t>
  </si>
  <si>
    <t>Item</t>
  </si>
  <si>
    <t>Marca</t>
  </si>
  <si>
    <t>Unid.</t>
  </si>
  <si>
    <t>Obs.</t>
  </si>
  <si>
    <t>Peso</t>
  </si>
  <si>
    <t>Dens.</t>
  </si>
  <si>
    <t>Emb.</t>
  </si>
  <si>
    <t>Vol.</t>
  </si>
  <si>
    <t>Tipo</t>
  </si>
  <si>
    <t>ANOX-P</t>
  </si>
  <si>
    <t>Diâmetro</t>
  </si>
  <si>
    <t>Larg./Alt.</t>
  </si>
  <si>
    <t/>
  </si>
  <si>
    <t>Tipo Conc.</t>
  </si>
  <si>
    <t>Total Unitário</t>
  </si>
  <si>
    <t>NÚMERO</t>
  </si>
  <si>
    <t>DE</t>
  </si>
  <si>
    <t>Esp. Rev.</t>
  </si>
  <si>
    <t>SKAMOL SUPER ISOL 1000</t>
  </si>
  <si>
    <t> 3150</t>
  </si>
  <si>
    <t xml:space="preserve"> 1118 </t>
  </si>
  <si>
    <t>SAP 10017379</t>
  </si>
  <si>
    <t>SAP 10017383</t>
  </si>
  <si>
    <t>SÉRIE - LADLE KEYS</t>
  </si>
  <si>
    <t>PARALELOS</t>
  </si>
  <si>
    <t>PLACAS</t>
  </si>
  <si>
    <t>20/20</t>
  </si>
  <si>
    <t>20/40</t>
  </si>
  <si>
    <t>SÉRIE MK - DALIAN E CHIZHOU</t>
  </si>
  <si>
    <t>25/0</t>
  </si>
  <si>
    <t>25/8</t>
  </si>
  <si>
    <t>25/16</t>
  </si>
  <si>
    <t>25/20</t>
  </si>
  <si>
    <t>25/30</t>
  </si>
  <si>
    <t>25/40</t>
  </si>
  <si>
    <t>25/60</t>
  </si>
  <si>
    <t>25/80</t>
  </si>
  <si>
    <t>25/120</t>
  </si>
  <si>
    <t>30/0</t>
  </si>
  <si>
    <t>30/8</t>
  </si>
  <si>
    <t>30/20</t>
  </si>
  <si>
    <t>30/40</t>
  </si>
  <si>
    <t>30/50</t>
  </si>
  <si>
    <t>30/70</t>
  </si>
  <si>
    <t>30/80</t>
  </si>
  <si>
    <t>35/0</t>
  </si>
  <si>
    <t>35/8</t>
  </si>
  <si>
    <t>35/10</t>
  </si>
  <si>
    <t>35/16</t>
  </si>
  <si>
    <t>35/20</t>
  </si>
  <si>
    <t>35/40</t>
  </si>
  <si>
    <t>35/60</t>
  </si>
  <si>
    <t>35/80</t>
  </si>
  <si>
    <t>40/0</t>
  </si>
  <si>
    <t>40/8</t>
  </si>
  <si>
    <t>40/20</t>
  </si>
  <si>
    <t>40/36</t>
  </si>
  <si>
    <t>40/40</t>
  </si>
  <si>
    <t>40/60</t>
  </si>
  <si>
    <t>40/80</t>
  </si>
  <si>
    <t>40/90</t>
  </si>
  <si>
    <t>40/100</t>
  </si>
  <si>
    <t>45/0</t>
  </si>
  <si>
    <t>45/8</t>
  </si>
  <si>
    <t>45/10</t>
  </si>
  <si>
    <t>45/20</t>
  </si>
  <si>
    <t>45/30</t>
  </si>
  <si>
    <t>45/40</t>
  </si>
  <si>
    <t>45/50</t>
  </si>
  <si>
    <t>45/60</t>
  </si>
  <si>
    <t>45/70</t>
  </si>
  <si>
    <t>45/80</t>
  </si>
  <si>
    <t>45/90</t>
  </si>
  <si>
    <t>50/0</t>
  </si>
  <si>
    <t>50/8</t>
  </si>
  <si>
    <t>50/20</t>
  </si>
  <si>
    <t>50/36</t>
  </si>
  <si>
    <t>50/40</t>
  </si>
  <si>
    <t>50/50</t>
  </si>
  <si>
    <t>50/60</t>
  </si>
  <si>
    <t>50/80</t>
  </si>
  <si>
    <t>50/90</t>
  </si>
  <si>
    <t>50/100</t>
  </si>
  <si>
    <t>55/0</t>
  </si>
  <si>
    <t>55/8</t>
  </si>
  <si>
    <t>55/20</t>
  </si>
  <si>
    <t>55/36</t>
  </si>
  <si>
    <t>55/50</t>
  </si>
  <si>
    <t>55/60</t>
  </si>
  <si>
    <t>55/70</t>
  </si>
  <si>
    <t>55/80</t>
  </si>
  <si>
    <t>55/90</t>
  </si>
  <si>
    <t>55/100</t>
  </si>
  <si>
    <t>55/110</t>
  </si>
  <si>
    <t>55/120</t>
  </si>
  <si>
    <t>60/0</t>
  </si>
  <si>
    <t>60/8</t>
  </si>
  <si>
    <t>60/20</t>
  </si>
  <si>
    <t>60/30</t>
  </si>
  <si>
    <t>60/36</t>
  </si>
  <si>
    <t>60/40</t>
  </si>
  <si>
    <t>60/60</t>
  </si>
  <si>
    <t>60/80</t>
  </si>
  <si>
    <t>60/90</t>
  </si>
  <si>
    <t>60/120</t>
  </si>
  <si>
    <t>65/0</t>
  </si>
  <si>
    <t>65/8</t>
  </si>
  <si>
    <t>65/20</t>
  </si>
  <si>
    <t>65/36</t>
  </si>
  <si>
    <t>65/60</t>
  </si>
  <si>
    <t>65/80</t>
  </si>
  <si>
    <t>65/90</t>
  </si>
  <si>
    <t>65/120</t>
  </si>
  <si>
    <t>70/0</t>
  </si>
  <si>
    <t>70/8</t>
  </si>
  <si>
    <t>70/20</t>
  </si>
  <si>
    <t>70/36</t>
  </si>
  <si>
    <t>70/60</t>
  </si>
  <si>
    <t>70/80</t>
  </si>
  <si>
    <t>70/120</t>
  </si>
  <si>
    <t>75/0</t>
  </si>
  <si>
    <t>75/8</t>
  </si>
  <si>
    <t>75/20</t>
  </si>
  <si>
    <t>75/36</t>
  </si>
  <si>
    <t>75/60</t>
  </si>
  <si>
    <t>75/80</t>
  </si>
  <si>
    <t>75/120</t>
  </si>
  <si>
    <t>80/0</t>
  </si>
  <si>
    <t>80/8</t>
  </si>
  <si>
    <t>80/20</t>
  </si>
  <si>
    <t>80/36</t>
  </si>
  <si>
    <t>80/60</t>
  </si>
  <si>
    <t>80/80</t>
  </si>
  <si>
    <t>80/120</t>
  </si>
  <si>
    <t>85/0</t>
  </si>
  <si>
    <t>85/8</t>
  </si>
  <si>
    <t>85/20</t>
  </si>
  <si>
    <t>85/36</t>
  </si>
  <si>
    <t>85/60</t>
  </si>
  <si>
    <t>85/80</t>
  </si>
  <si>
    <t>85/120</t>
  </si>
  <si>
    <t>90/0</t>
  </si>
  <si>
    <t>90/8</t>
  </si>
  <si>
    <t>90/20</t>
  </si>
  <si>
    <t>90/36</t>
  </si>
  <si>
    <t>90/60</t>
  </si>
  <si>
    <t>90/80</t>
  </si>
  <si>
    <t>90/120</t>
  </si>
  <si>
    <t>95/20</t>
  </si>
  <si>
    <t>95/36</t>
  </si>
  <si>
    <t>95/40</t>
  </si>
  <si>
    <t>95/60</t>
  </si>
  <si>
    <t>95/80</t>
  </si>
  <si>
    <t>95/120</t>
  </si>
  <si>
    <t>100/0</t>
  </si>
  <si>
    <t>100/20</t>
  </si>
  <si>
    <t>100/36</t>
  </si>
  <si>
    <t>100/60</t>
  </si>
  <si>
    <t>100/80</t>
  </si>
  <si>
    <t>100/120</t>
  </si>
  <si>
    <t>105/36</t>
  </si>
  <si>
    <t>105/80</t>
  </si>
  <si>
    <t>110/8</t>
  </si>
  <si>
    <t>110/20</t>
  </si>
  <si>
    <t>110/36</t>
  </si>
  <si>
    <t>110/80</t>
  </si>
  <si>
    <t>115/36</t>
  </si>
  <si>
    <t>115/80</t>
  </si>
  <si>
    <t>120/36</t>
  </si>
  <si>
    <t>120/80</t>
  </si>
  <si>
    <t>23/30-100K</t>
  </si>
  <si>
    <t>23/30-112.5K</t>
  </si>
  <si>
    <t>25/8-75K</t>
  </si>
  <si>
    <t>25/30-100K</t>
  </si>
  <si>
    <t>25/30-112.5K</t>
  </si>
  <si>
    <t>35/30-112.5K</t>
  </si>
  <si>
    <t>50/8-75K</t>
  </si>
  <si>
    <t>55/60-120K</t>
  </si>
  <si>
    <t>60/8-75K</t>
  </si>
  <si>
    <t>60/60-100K</t>
  </si>
  <si>
    <t>65/60-120K</t>
  </si>
  <si>
    <t>127.5</t>
  </si>
  <si>
    <t>97.5</t>
  </si>
  <si>
    <t>70/60-112K</t>
  </si>
  <si>
    <t>75/24-100K</t>
  </si>
  <si>
    <t>75/27-112.5K</t>
  </si>
  <si>
    <t>75/60-120K</t>
  </si>
  <si>
    <t>80/14-100K</t>
  </si>
  <si>
    <t>80/15-112.5K</t>
  </si>
  <si>
    <t>80/24-100K</t>
  </si>
  <si>
    <t>80/27-112.5K</t>
  </si>
  <si>
    <t>80/40-100K</t>
  </si>
  <si>
    <t>90/60-106K</t>
  </si>
  <si>
    <t>40/40-98</t>
  </si>
  <si>
    <t>95/0-150</t>
  </si>
  <si>
    <t>95/10-150</t>
  </si>
  <si>
    <t>95/50-150</t>
  </si>
  <si>
    <t>105/20-150</t>
  </si>
  <si>
    <t>105/60-150</t>
  </si>
  <si>
    <t>115/20-150</t>
  </si>
  <si>
    <t>115/60-150</t>
  </si>
  <si>
    <t>SÉRIE-ISO (RADIAL)</t>
  </si>
  <si>
    <t>Sub-Total</t>
  </si>
  <si>
    <t>FIM</t>
  </si>
  <si>
    <t>CC 10</t>
  </si>
  <si>
    <t>CC 11</t>
  </si>
  <si>
    <t>CC 12</t>
  </si>
  <si>
    <t>CC 13</t>
  </si>
  <si>
    <t>CC 566</t>
  </si>
  <si>
    <t>CC 675</t>
  </si>
  <si>
    <t>CC 316</t>
  </si>
  <si>
    <t>CC 318</t>
  </si>
  <si>
    <t>CC 98</t>
  </si>
  <si>
    <t>CC 14</t>
  </si>
  <si>
    <t>CC 99</t>
  </si>
  <si>
    <t>CC 320</t>
  </si>
  <si>
    <t>CC 15</t>
  </si>
  <si>
    <t>CC 407</t>
  </si>
  <si>
    <t>CC 16</t>
  </si>
  <si>
    <t>CC 677</t>
  </si>
  <si>
    <t>CC 136</t>
  </si>
  <si>
    <t>CC 456</t>
  </si>
  <si>
    <t>C 152359</t>
  </si>
  <si>
    <t>C 152367</t>
  </si>
  <si>
    <t>C 152375</t>
  </si>
  <si>
    <t>C 152383</t>
  </si>
  <si>
    <t>C 103614</t>
  </si>
  <si>
    <t>C 133058</t>
  </si>
  <si>
    <t>C 243427</t>
  </si>
  <si>
    <t>C 243486</t>
  </si>
  <si>
    <t>C 181243</t>
  </si>
  <si>
    <t>C 152391</t>
  </si>
  <si>
    <t>C 181251</t>
  </si>
  <si>
    <t>C 243508</t>
  </si>
  <si>
    <t>C 152405</t>
  </si>
  <si>
    <t>C 028191</t>
  </si>
  <si>
    <t>C 152413</t>
  </si>
  <si>
    <t>C 133074</t>
  </si>
  <si>
    <t>C 185419</t>
  </si>
  <si>
    <t>C 059451</t>
  </si>
  <si>
    <t>C 152456</t>
  </si>
  <si>
    <t>C 152464</t>
  </si>
  <si>
    <t>C 152472</t>
  </si>
  <si>
    <t>C 152421</t>
  </si>
  <si>
    <t>C 132936</t>
  </si>
  <si>
    <t>C 133041</t>
  </si>
  <si>
    <t>C 243435</t>
  </si>
  <si>
    <t>C 243494</t>
  </si>
  <si>
    <t>C 181219</t>
  </si>
  <si>
    <t>C 152480</t>
  </si>
  <si>
    <t>C 181227</t>
  </si>
  <si>
    <t>C 243516</t>
  </si>
  <si>
    <t>C 152430</t>
  </si>
  <si>
    <t>C 042036</t>
  </si>
  <si>
    <t>C 152448</t>
  </si>
  <si>
    <t>C 133066</t>
  </si>
  <si>
    <t>C 185389</t>
  </si>
  <si>
    <t>CC 17</t>
  </si>
  <si>
    <t>CC 18</t>
  </si>
  <si>
    <t>CC 19</t>
  </si>
  <si>
    <t>CC 20</t>
  </si>
  <si>
    <t>CC 673</t>
  </si>
  <si>
    <t>CC 674</t>
  </si>
  <si>
    <t>CC 317</t>
  </si>
  <si>
    <t>CC 319</t>
  </si>
  <si>
    <t>CC 95</t>
  </si>
  <si>
    <t>CC 21</t>
  </si>
  <si>
    <t>CC 96</t>
  </si>
  <si>
    <t>CC 321</t>
  </si>
  <si>
    <t>CC 22</t>
  </si>
  <si>
    <t>CC 436</t>
  </si>
  <si>
    <t>CC 23</t>
  </si>
  <si>
    <t>CC 676</t>
  </si>
  <si>
    <t>CC 97</t>
  </si>
  <si>
    <t>C 054802</t>
  </si>
  <si>
    <t>C 235181</t>
  </si>
  <si>
    <t>C 138933</t>
  </si>
  <si>
    <t>C 054296</t>
  </si>
  <si>
    <t>C 026930</t>
  </si>
  <si>
    <t>CC 101</t>
  </si>
  <si>
    <t>CC 289</t>
  </si>
  <si>
    <t>CC 697</t>
  </si>
  <si>
    <t>CC 450</t>
  </si>
  <si>
    <t>CC 398</t>
  </si>
  <si>
    <t>LUVAS EBT</t>
  </si>
  <si>
    <t>2H6</t>
  </si>
  <si>
    <t>2H10</t>
  </si>
  <si>
    <t>2H16</t>
  </si>
  <si>
    <t>2H24</t>
  </si>
  <si>
    <t>3H6</t>
  </si>
  <si>
    <t>2HL10</t>
  </si>
  <si>
    <t>2HL16</t>
  </si>
  <si>
    <t>2HL24</t>
  </si>
  <si>
    <t>SILPLATE 1112</t>
  </si>
  <si>
    <t>SILPLATE 1408</t>
  </si>
  <si>
    <t>SILPLATE 1508</t>
  </si>
  <si>
    <t>FIADA 1</t>
  </si>
  <si>
    <t>FIADA 3</t>
  </si>
  <si>
    <t>FIADA 4</t>
  </si>
  <si>
    <t>FIADA 5</t>
  </si>
  <si>
    <t>FIADA 6</t>
  </si>
  <si>
    <t>FIADA 7</t>
  </si>
  <si>
    <t>FIADA 8</t>
  </si>
  <si>
    <t>FIADA 9</t>
  </si>
  <si>
    <t>FIADA 10</t>
  </si>
  <si>
    <t>FIADA 11</t>
  </si>
  <si>
    <t>FIADA 12</t>
  </si>
  <si>
    <t>FIADA 13</t>
  </si>
  <si>
    <t>FIADA 14</t>
  </si>
  <si>
    <t>FIADA 15</t>
  </si>
  <si>
    <t>FIADA 16</t>
  </si>
  <si>
    <t>FIADA 17</t>
  </si>
  <si>
    <t>FIADA 18</t>
  </si>
  <si>
    <t>FIADA 19</t>
  </si>
  <si>
    <t>FIADA 20</t>
  </si>
  <si>
    <t>FIADA 21</t>
  </si>
  <si>
    <t>FIADA 22</t>
  </si>
  <si>
    <t>FIADA 23</t>
  </si>
  <si>
    <t>FIADA 24</t>
  </si>
  <si>
    <t>FIADA 25</t>
  </si>
  <si>
    <t>FIADA 26</t>
  </si>
  <si>
    <t>FIADA 27</t>
  </si>
  <si>
    <t>FIADA 28</t>
  </si>
  <si>
    <t>FIADA 29</t>
  </si>
  <si>
    <t>FIADA 30</t>
  </si>
  <si>
    <t>VOLUME DAS MARCAS POR EQUIP. (dm³)</t>
  </si>
  <si>
    <t>VIBRADO</t>
  </si>
  <si>
    <t>VERTIDO</t>
  </si>
  <si>
    <t>BOMBEADO</t>
  </si>
  <si>
    <t>SISTEMA DE UNIDADES UTILIZADO:</t>
  </si>
  <si>
    <t>SI</t>
  </si>
  <si>
    <t xml:space="preserve"> + 3H6</t>
  </si>
  <si>
    <t>1HL6</t>
  </si>
  <si>
    <t>1Q10-76</t>
  </si>
  <si>
    <t>1Q14-76</t>
  </si>
  <si>
    <t>1Q28-76</t>
  </si>
  <si>
    <t>2Q10-76</t>
  </si>
  <si>
    <t>2Q20-76</t>
  </si>
  <si>
    <t>2Q28-76</t>
  </si>
  <si>
    <t>2Q50-76</t>
  </si>
  <si>
    <t>2Q54</t>
  </si>
  <si>
    <t>2QB-76</t>
  </si>
  <si>
    <t>2QC-76</t>
  </si>
  <si>
    <t>2QD-76</t>
  </si>
  <si>
    <t>Q31-76</t>
  </si>
  <si>
    <t>Q151-76</t>
  </si>
  <si>
    <t>Q081-76</t>
  </si>
  <si>
    <t>Q041</t>
  </si>
  <si>
    <t>2Q14-76</t>
  </si>
  <si>
    <t>D1-119</t>
  </si>
  <si>
    <t>D1-130</t>
  </si>
  <si>
    <t>2G10</t>
  </si>
  <si>
    <t>2GG4</t>
  </si>
  <si>
    <t>2GG10</t>
  </si>
  <si>
    <t>2GG16</t>
  </si>
  <si>
    <t>G51</t>
  </si>
  <si>
    <t>G31</t>
  </si>
  <si>
    <t>G21</t>
  </si>
  <si>
    <t>G11</t>
  </si>
  <si>
    <t>G081</t>
  </si>
  <si>
    <t>GB51</t>
  </si>
  <si>
    <t>GB31</t>
  </si>
  <si>
    <t>GB21</t>
  </si>
  <si>
    <t>GB11</t>
  </si>
  <si>
    <t>GB081</t>
  </si>
  <si>
    <t>GB51B</t>
  </si>
  <si>
    <t>GB31B</t>
  </si>
  <si>
    <t>GB21B</t>
  </si>
  <si>
    <t>GB081B</t>
  </si>
  <si>
    <t>G12A</t>
  </si>
  <si>
    <t>G52</t>
  </si>
  <si>
    <t>G32</t>
  </si>
  <si>
    <t>G22</t>
  </si>
  <si>
    <t>G12</t>
  </si>
  <si>
    <t>G082</t>
  </si>
  <si>
    <t>GB52</t>
  </si>
  <si>
    <t>GB32</t>
  </si>
  <si>
    <t>GB22</t>
  </si>
  <si>
    <t>GB12</t>
  </si>
  <si>
    <t>GB082</t>
  </si>
  <si>
    <t>GB52B</t>
  </si>
  <si>
    <t>GB32B</t>
  </si>
  <si>
    <t>GB22B</t>
  </si>
  <si>
    <t>GB082B</t>
  </si>
  <si>
    <t>TBS 6.5 E</t>
  </si>
  <si>
    <t>G33</t>
  </si>
  <si>
    <t>G23</t>
  </si>
  <si>
    <t>GB33</t>
  </si>
  <si>
    <t>GB23</t>
  </si>
  <si>
    <t xml:space="preserve"> 1-32</t>
  </si>
  <si>
    <t xml:space="preserve"> 1-40</t>
  </si>
  <si>
    <t xml:space="preserve"> 1-50</t>
  </si>
  <si>
    <t xml:space="preserve"> 1-76</t>
  </si>
  <si>
    <t>1B-76</t>
  </si>
  <si>
    <t>1D-76</t>
  </si>
  <si>
    <t xml:space="preserve"> 2-76</t>
  </si>
  <si>
    <t>2B-76</t>
  </si>
  <si>
    <t xml:space="preserve"> 3-76</t>
  </si>
  <si>
    <t>3B-76</t>
  </si>
  <si>
    <t>3D-76</t>
  </si>
  <si>
    <t>1L-76</t>
  </si>
  <si>
    <t>2L-76</t>
  </si>
  <si>
    <t>2LB-76</t>
  </si>
  <si>
    <t>3LB-76</t>
  </si>
  <si>
    <t>Description</t>
  </si>
  <si>
    <t>Date</t>
  </si>
  <si>
    <t>Design</t>
  </si>
  <si>
    <t>Brand</t>
  </si>
  <si>
    <t>Specification</t>
  </si>
  <si>
    <t>Quantity</t>
  </si>
  <si>
    <t>Net</t>
  </si>
  <si>
    <t>Note</t>
  </si>
  <si>
    <t>Notes</t>
  </si>
  <si>
    <t>INSULATING CEMENT</t>
  </si>
  <si>
    <t>INSULATING</t>
  </si>
  <si>
    <t>INSULATING 0,5</t>
  </si>
  <si>
    <t>INSULATING 0,6</t>
  </si>
  <si>
    <t>INSULATING 0,8</t>
  </si>
  <si>
    <t>INSULATING 0,9</t>
  </si>
  <si>
    <t>INSULATING 1,0</t>
  </si>
  <si>
    <t>INSULATING 1,2</t>
  </si>
  <si>
    <t>INSULATING 1,75</t>
  </si>
  <si>
    <t>(LT = LITER)</t>
  </si>
  <si>
    <t>PARAFFIN</t>
  </si>
  <si>
    <t>LUBRICANT</t>
  </si>
  <si>
    <t>DIATOMACEOUS SILICA 1040°C</t>
  </si>
  <si>
    <t>CALCIUM SILICATE 815°C</t>
  </si>
  <si>
    <t>LATEX PAINT</t>
  </si>
  <si>
    <t>pcs</t>
  </si>
  <si>
    <t>CÓPIA DE SEGURANÇA  - NÃO DELETAR</t>
  </si>
  <si>
    <t>ARCOS</t>
  </si>
  <si>
    <t xml:space="preserve"> 1-25</t>
  </si>
  <si>
    <t>1B</t>
  </si>
  <si>
    <t>1L</t>
  </si>
  <si>
    <t xml:space="preserve"> 2-20</t>
  </si>
  <si>
    <t xml:space="preserve"> 2-32</t>
  </si>
  <si>
    <t xml:space="preserve"> 2-40</t>
  </si>
  <si>
    <t xml:space="preserve"> 2-50</t>
  </si>
  <si>
    <t xml:space="preserve"> 2-65</t>
  </si>
  <si>
    <t xml:space="preserve"> 2-80</t>
  </si>
  <si>
    <t>2B</t>
  </si>
  <si>
    <t>2L</t>
  </si>
  <si>
    <t>2D</t>
  </si>
  <si>
    <t>B1</t>
  </si>
  <si>
    <t>B2</t>
  </si>
  <si>
    <t>B3</t>
  </si>
  <si>
    <t>BO-3</t>
  </si>
  <si>
    <t>BO-4</t>
  </si>
  <si>
    <t>BO-5</t>
  </si>
  <si>
    <t>P3</t>
  </si>
  <si>
    <t>P4</t>
  </si>
  <si>
    <t>P5</t>
  </si>
  <si>
    <t>P7</t>
  </si>
  <si>
    <t>P10</t>
  </si>
  <si>
    <t>P12</t>
  </si>
  <si>
    <t>15-76</t>
  </si>
  <si>
    <t>15-100</t>
  </si>
  <si>
    <t>35 B-100</t>
  </si>
  <si>
    <t>RU 1-100</t>
  </si>
  <si>
    <t>RU 1-130</t>
  </si>
  <si>
    <t>1G4</t>
  </si>
  <si>
    <t>1G10</t>
  </si>
  <si>
    <t>1G16</t>
  </si>
  <si>
    <t>1G24</t>
  </si>
  <si>
    <t>1G26</t>
  </si>
  <si>
    <t>1G28</t>
  </si>
  <si>
    <t>1G50</t>
  </si>
  <si>
    <t>1GG4</t>
  </si>
  <si>
    <t>1GG10</t>
  </si>
  <si>
    <t>1GG16</t>
  </si>
  <si>
    <t>1GG24</t>
  </si>
  <si>
    <t>1GG26</t>
  </si>
  <si>
    <t>2G4</t>
  </si>
  <si>
    <t>2G6</t>
  </si>
  <si>
    <t>2G16</t>
  </si>
  <si>
    <t>2G24</t>
  </si>
  <si>
    <t>2G26</t>
  </si>
  <si>
    <t>2G38</t>
  </si>
  <si>
    <t>2G50</t>
  </si>
  <si>
    <t>2GG6</t>
  </si>
  <si>
    <t>2GG8</t>
  </si>
  <si>
    <t>2GG12</t>
  </si>
  <si>
    <t>2GG24</t>
  </si>
  <si>
    <t>2GG26</t>
  </si>
  <si>
    <t>2GG38</t>
  </si>
  <si>
    <t>2GG50</t>
  </si>
  <si>
    <t>HALBWOLBER - ARCHES ( TIJOLOS EUROPA) - ARCOS</t>
  </si>
  <si>
    <t>1H4</t>
  </si>
  <si>
    <t>1H6</t>
  </si>
  <si>
    <t>1H10</t>
  </si>
  <si>
    <t>1H16</t>
  </si>
  <si>
    <t>1H24</t>
  </si>
  <si>
    <t>1H26</t>
  </si>
  <si>
    <t>1H50</t>
  </si>
  <si>
    <t>2H4</t>
  </si>
  <si>
    <t>2H26</t>
  </si>
  <si>
    <t>2H38</t>
  </si>
  <si>
    <t>2H50</t>
  </si>
  <si>
    <t>2HL6</t>
  </si>
  <si>
    <t>3H10</t>
  </si>
  <si>
    <t>3H16</t>
  </si>
  <si>
    <t>3H24</t>
  </si>
  <si>
    <t>3H50</t>
  </si>
  <si>
    <t>RECHTECKSTEINE - STRAIGHTS ( TIJOLOS EUROPA) - PARALELOS</t>
  </si>
  <si>
    <t>GANZWOLBER - WEDGES ( TIJOLOS EUROPA) - CUNHAS</t>
  </si>
  <si>
    <t>2Q14</t>
  </si>
  <si>
    <t>2Q28</t>
  </si>
  <si>
    <t>2Q50</t>
  </si>
  <si>
    <t>LADLE BRICKS - ARCHES ( TIJOLOS EUROPA) - ARCOS</t>
  </si>
  <si>
    <t>1P0</t>
  </si>
  <si>
    <t>1P8</t>
  </si>
  <si>
    <t>1P18</t>
  </si>
  <si>
    <t>1P26</t>
  </si>
  <si>
    <t>0P4</t>
  </si>
  <si>
    <t>0P5</t>
  </si>
  <si>
    <t>0P6</t>
  </si>
  <si>
    <t>0P7</t>
  </si>
  <si>
    <t>0P10</t>
  </si>
  <si>
    <t>0P15</t>
  </si>
  <si>
    <t>2P0</t>
  </si>
  <si>
    <t>3P0</t>
  </si>
  <si>
    <t>3P6</t>
  </si>
  <si>
    <t>3P10</t>
  </si>
  <si>
    <t>3P20</t>
  </si>
  <si>
    <t>3P26</t>
  </si>
  <si>
    <t>4P0</t>
  </si>
  <si>
    <t>4P8</t>
  </si>
  <si>
    <t>4P10</t>
  </si>
  <si>
    <t>4P12</t>
  </si>
  <si>
    <t>4P20</t>
  </si>
  <si>
    <t>4P22</t>
  </si>
  <si>
    <t>5P0</t>
  </si>
  <si>
    <t>5P6</t>
  </si>
  <si>
    <t>5P8</t>
  </si>
  <si>
    <t>5P12</t>
  </si>
  <si>
    <t>5P16</t>
  </si>
  <si>
    <t>5P22</t>
  </si>
  <si>
    <t>2P6</t>
  </si>
  <si>
    <t>2P10</t>
  </si>
  <si>
    <t>2P24</t>
  </si>
  <si>
    <t>Volume Arg. Dm³</t>
  </si>
  <si>
    <t>Esp. Arg.</t>
  </si>
  <si>
    <t>Volume Total</t>
  </si>
  <si>
    <t>ARGAMASSAS</t>
  </si>
  <si>
    <t>ISOLANTES</t>
  </si>
  <si>
    <t>FIBRAS</t>
  </si>
  <si>
    <t>NEWS FORMATS</t>
  </si>
  <si>
    <t>RADIAIS</t>
  </si>
  <si>
    <t>TIJOLOS VDZ</t>
  </si>
  <si>
    <t>TIJOLOS MK</t>
  </si>
  <si>
    <t>P/,</t>
  </si>
  <si>
    <t>MARCAS</t>
  </si>
  <si>
    <t>Densidade</t>
  </si>
  <si>
    <t>Embalagem</t>
  </si>
  <si>
    <t>Classificação</t>
  </si>
  <si>
    <t>Unidade</t>
  </si>
  <si>
    <t>SÉRIE-ISO (RADIAL)                                        SÉRIE-ISO (RADIAL)                                             SÉRIE-ISO (RADIAL)                                  SÉRIE-ISO (RADIAL)</t>
  </si>
  <si>
    <t xml:space="preserve">SÉRIE-MK                           SÉRIE-MK  </t>
  </si>
  <si>
    <t>ESPECIFICAÇÕES DE FIBRA CERÂMICA</t>
  </si>
  <si>
    <t>ACELERADOR E LUBRIFICANTE</t>
  </si>
  <si>
    <t>Total Weight</t>
  </si>
  <si>
    <t>Weight per Brand</t>
  </si>
  <si>
    <t>Region - Zone</t>
  </si>
  <si>
    <t>Net [t]</t>
  </si>
  <si>
    <t>Total [t]</t>
  </si>
  <si>
    <t>TOTAL</t>
  </si>
  <si>
    <t xml:space="preserve">CARD BOARD </t>
  </si>
  <si>
    <t>SKAMOL M-EXTRA</t>
  </si>
  <si>
    <t>Weight [t]</t>
  </si>
  <si>
    <t>Weight un. [kg]</t>
  </si>
  <si>
    <t>OP.</t>
  </si>
  <si>
    <t>Drawing number</t>
  </si>
  <si>
    <t>Revision</t>
  </si>
  <si>
    <t>State</t>
  </si>
  <si>
    <t>CÓDIGO SAP</t>
  </si>
  <si>
    <t>PYROSTOP CARTO 125</t>
  </si>
  <si>
    <t>Raio</t>
  </si>
  <si>
    <t>FIADAS</t>
  </si>
  <si>
    <t>FIADAS:</t>
  </si>
  <si>
    <t>FORMATOS</t>
  </si>
  <si>
    <t>REGIÃO</t>
  </si>
  <si>
    <t>PAINÉIS</t>
  </si>
  <si>
    <t>%</t>
  </si>
  <si>
    <t>A00</t>
  </si>
  <si>
    <t>CLIENTE</t>
  </si>
  <si>
    <t>CIDADE</t>
  </si>
  <si>
    <t>CAPACIDADE</t>
  </si>
  <si>
    <t>MK4/10</t>
  </si>
  <si>
    <t>MK4/30</t>
  </si>
  <si>
    <t>MK5/0</t>
  </si>
  <si>
    <t>MK5/6</t>
  </si>
  <si>
    <t>MK5/8</t>
  </si>
  <si>
    <t>MK5/20</t>
  </si>
  <si>
    <t>MK5/30</t>
  </si>
  <si>
    <t>MK5/32</t>
  </si>
  <si>
    <t>MK5/40</t>
  </si>
  <si>
    <t>MK6/0</t>
  </si>
  <si>
    <t>MK6/5,4</t>
  </si>
  <si>
    <t>MK6/8</t>
  </si>
  <si>
    <t>MK6/10</t>
  </si>
  <si>
    <t>MK6/12</t>
  </si>
  <si>
    <t>MK6/13</t>
  </si>
  <si>
    <t>MK6/20</t>
  </si>
  <si>
    <t>MK6/25,4</t>
  </si>
  <si>
    <t>MK6/30</t>
  </si>
  <si>
    <t>MK6/40</t>
  </si>
  <si>
    <t>MK7/8</t>
  </si>
  <si>
    <t>MK7/10</t>
  </si>
  <si>
    <t>MK7/18</t>
  </si>
  <si>
    <t>MK7/20</t>
  </si>
  <si>
    <t>MK7/30</t>
  </si>
  <si>
    <t>MK7/40</t>
  </si>
  <si>
    <t>MK8/0</t>
  </si>
  <si>
    <t>MK8/8</t>
  </si>
  <si>
    <t>MK8/10</t>
  </si>
  <si>
    <t>MK8/19</t>
  </si>
  <si>
    <t>MK8/20</t>
  </si>
  <si>
    <t>MK8/30</t>
  </si>
  <si>
    <t>MK8/40</t>
  </si>
  <si>
    <t>MK8/44,4</t>
  </si>
  <si>
    <t>MK9/0</t>
  </si>
  <si>
    <t>MK9/8</t>
  </si>
  <si>
    <t>MK9/16</t>
  </si>
  <si>
    <t>MK9/30</t>
  </si>
  <si>
    <t>MK9/50</t>
  </si>
  <si>
    <t>MK7/20-100K</t>
  </si>
  <si>
    <t>MK7/20-112,5K</t>
  </si>
  <si>
    <t>MK8/8-100K</t>
  </si>
  <si>
    <t>MK8/8-112.5K</t>
  </si>
  <si>
    <t>MK9/8-100K</t>
  </si>
  <si>
    <t>MK9/8-112,5K</t>
  </si>
  <si>
    <t>MK6/8-76</t>
  </si>
  <si>
    <t>MK10/6</t>
  </si>
  <si>
    <t>MK10/20</t>
  </si>
  <si>
    <t>MK13/6</t>
  </si>
  <si>
    <t>MK13/20</t>
  </si>
  <si>
    <t>MK13/30</t>
  </si>
  <si>
    <t>MK13/40</t>
  </si>
  <si>
    <t>MK14/8</t>
  </si>
  <si>
    <t>MK14/20</t>
  </si>
  <si>
    <t>MK15/6</t>
  </si>
  <si>
    <t>MK15/8</t>
  </si>
  <si>
    <t>MK15/10</t>
  </si>
  <si>
    <t>MK15/13</t>
  </si>
  <si>
    <t>MK15/16</t>
  </si>
  <si>
    <t>MK15/20</t>
  </si>
  <si>
    <t>MK15/25</t>
  </si>
  <si>
    <t>MK15/30</t>
  </si>
  <si>
    <t>MK15/40</t>
  </si>
  <si>
    <t>MK15/70</t>
  </si>
  <si>
    <t>MK17/10</t>
  </si>
  <si>
    <t>MK17/15</t>
  </si>
  <si>
    <t>MK17/28</t>
  </si>
  <si>
    <t>MK17/35</t>
  </si>
  <si>
    <t>MK17/40</t>
  </si>
  <si>
    <t>MK18/4</t>
  </si>
  <si>
    <t>MK18/6</t>
  </si>
  <si>
    <t>MK18/8</t>
  </si>
  <si>
    <t>MK18/16</t>
  </si>
  <si>
    <t>MK18/20</t>
  </si>
  <si>
    <t>MK18/30</t>
  </si>
  <si>
    <t>MK18/40</t>
  </si>
  <si>
    <t>MK18/48</t>
  </si>
  <si>
    <t>MK20/0</t>
  </si>
  <si>
    <t>MK20/8</t>
  </si>
  <si>
    <t>MK20/10</t>
  </si>
  <si>
    <t>MK20/16</t>
  </si>
  <si>
    <t>MK20/19</t>
  </si>
  <si>
    <t>MK20/30</t>
  </si>
  <si>
    <t>MK20/34</t>
  </si>
  <si>
    <t>MK20/60</t>
  </si>
  <si>
    <t>MK20/70</t>
  </si>
  <si>
    <t>MK22/8</t>
  </si>
  <si>
    <t>MK22/19</t>
  </si>
  <si>
    <t>MK22/37</t>
  </si>
  <si>
    <t>MK22/40</t>
  </si>
  <si>
    <t>MK22/59</t>
  </si>
  <si>
    <t>MK23/0</t>
  </si>
  <si>
    <t>MK23/8</t>
  </si>
  <si>
    <t>MK23/16</t>
  </si>
  <si>
    <t>MK23/20</t>
  </si>
  <si>
    <t>MK23/30</t>
  </si>
  <si>
    <t>MK23/40</t>
  </si>
  <si>
    <t>MK23/50</t>
  </si>
  <si>
    <t>MK15/8-100K</t>
  </si>
  <si>
    <t>MK15/8-120K</t>
  </si>
  <si>
    <t>MK15/20-100K</t>
  </si>
  <si>
    <t>MK15/20-120K</t>
  </si>
  <si>
    <t>MK18/8-100K</t>
  </si>
  <si>
    <t>MK18/8-120K</t>
  </si>
  <si>
    <t>MK18/20-100K</t>
  </si>
  <si>
    <t>MKA318/20-120K</t>
  </si>
  <si>
    <t>LUVAS EBT RED</t>
  </si>
  <si>
    <t>LUVAS EBT BLUE</t>
  </si>
  <si>
    <t>RW13</t>
  </si>
  <si>
    <t>RW14</t>
  </si>
  <si>
    <t>RW15</t>
  </si>
  <si>
    <t>RW16</t>
  </si>
  <si>
    <t>RW17</t>
  </si>
  <si>
    <t>RW18</t>
  </si>
  <si>
    <t>RW20</t>
  </si>
  <si>
    <t>RW22</t>
  </si>
  <si>
    <t>2025100</t>
  </si>
  <si>
    <t>1307500</t>
  </si>
  <si>
    <t>862400</t>
  </si>
  <si>
    <t>972300</t>
  </si>
  <si>
    <t>1075400</t>
  </si>
  <si>
    <t>985800</t>
  </si>
  <si>
    <t>822500</t>
  </si>
  <si>
    <t>1005600</t>
  </si>
  <si>
    <t>JRW165</t>
  </si>
  <si>
    <t>JRW17Z</t>
  </si>
  <si>
    <t>JRW18Z</t>
  </si>
  <si>
    <t>JRW19Z</t>
  </si>
  <si>
    <t>JRW20Z</t>
  </si>
  <si>
    <t>9056284</t>
  </si>
  <si>
    <t>9056278</t>
  </si>
  <si>
    <t>9056279</t>
  </si>
  <si>
    <t>9056280</t>
  </si>
  <si>
    <t>9056281</t>
  </si>
  <si>
    <t>RW05Z</t>
  </si>
  <si>
    <t>RW10X</t>
  </si>
  <si>
    <t>RW10Z</t>
  </si>
  <si>
    <t>RW11</t>
  </si>
  <si>
    <t>RW11W</t>
  </si>
  <si>
    <t>RW11X</t>
  </si>
  <si>
    <t>RW11Z</t>
  </si>
  <si>
    <t>RW12</t>
  </si>
  <si>
    <t>RW12F</t>
  </si>
  <si>
    <t>RW12X</t>
  </si>
  <si>
    <t>RW12Z</t>
  </si>
  <si>
    <t>RW13W</t>
  </si>
  <si>
    <t>RW13X</t>
  </si>
  <si>
    <t>RW13Z</t>
  </si>
  <si>
    <t>RW14W</t>
  </si>
  <si>
    <t>RW14X</t>
  </si>
  <si>
    <t>RW14Z</t>
  </si>
  <si>
    <t>RW15W</t>
  </si>
  <si>
    <t>RW15X</t>
  </si>
  <si>
    <t>RW15Z</t>
  </si>
  <si>
    <t>RW16W</t>
  </si>
  <si>
    <t>RW16X</t>
  </si>
  <si>
    <t>RW16Z</t>
  </si>
  <si>
    <t>RW17X</t>
  </si>
  <si>
    <t>RW17Z</t>
  </si>
  <si>
    <t>RW18W</t>
  </si>
  <si>
    <t>RW18X</t>
  </si>
  <si>
    <t>RW18Z</t>
  </si>
  <si>
    <t>RW19</t>
  </si>
  <si>
    <t>RW19X</t>
  </si>
  <si>
    <t>RW19X-400</t>
  </si>
  <si>
    <t>RW19Z</t>
  </si>
  <si>
    <t>RW20W</t>
  </si>
  <si>
    <t>RW20X</t>
  </si>
  <si>
    <t>RW20Z</t>
  </si>
  <si>
    <t>RW21</t>
  </si>
  <si>
    <t>RW21Z</t>
  </si>
  <si>
    <t>RW22X</t>
  </si>
  <si>
    <t>RW22Z</t>
  </si>
  <si>
    <t>9066502</t>
  </si>
  <si>
    <t>9089022</t>
  </si>
  <si>
    <t>9060559</t>
  </si>
  <si>
    <t>3388700</t>
  </si>
  <si>
    <t>9101256</t>
  </si>
  <si>
    <t>9089023</t>
  </si>
  <si>
    <t>3388800</t>
  </si>
  <si>
    <t>3313000</t>
  </si>
  <si>
    <t>9121543</t>
  </si>
  <si>
    <t>9089024</t>
  </si>
  <si>
    <t>3297600</t>
  </si>
  <si>
    <t>9107475</t>
  </si>
  <si>
    <t>9089025</t>
  </si>
  <si>
    <t>3092300</t>
  </si>
  <si>
    <t>9099740</t>
  </si>
  <si>
    <t>9089026</t>
  </si>
  <si>
    <t>3126200</t>
  </si>
  <si>
    <t>9112843</t>
  </si>
  <si>
    <t>9089027</t>
  </si>
  <si>
    <t>3188800</t>
  </si>
  <si>
    <t>9111680</t>
  </si>
  <si>
    <t>9089028</t>
  </si>
  <si>
    <t>3102300</t>
  </si>
  <si>
    <t>9089029</t>
  </si>
  <si>
    <t>3111600</t>
  </si>
  <si>
    <t>9105651</t>
  </si>
  <si>
    <t>9089030</t>
  </si>
  <si>
    <t>3025300</t>
  </si>
  <si>
    <t>2955500</t>
  </si>
  <si>
    <t>9089031</t>
  </si>
  <si>
    <t>9100499</t>
  </si>
  <si>
    <t>3297700</t>
  </si>
  <si>
    <t>9099920</t>
  </si>
  <si>
    <t>9089033</t>
  </si>
  <si>
    <t>3153900</t>
  </si>
  <si>
    <t>3420400</t>
  </si>
  <si>
    <t>3328300</t>
  </si>
  <si>
    <t>9089035</t>
  </si>
  <si>
    <t>3297800</t>
  </si>
  <si>
    <t>JRW10Z</t>
  </si>
  <si>
    <t>JRW115</t>
  </si>
  <si>
    <t>JRW125</t>
  </si>
  <si>
    <t>JRW12Z</t>
  </si>
  <si>
    <t>JRW135</t>
  </si>
  <si>
    <t>JRW13Z</t>
  </si>
  <si>
    <t>JRW14</t>
  </si>
  <si>
    <t>JRW14Z</t>
  </si>
  <si>
    <t>JRW15</t>
  </si>
  <si>
    <t>JRW15Z</t>
  </si>
  <si>
    <t>JRW16Z</t>
  </si>
  <si>
    <t>JRW175</t>
  </si>
  <si>
    <t>JRW185</t>
  </si>
  <si>
    <t>JRW19</t>
  </si>
  <si>
    <t>JRW195</t>
  </si>
  <si>
    <t>JRW20</t>
  </si>
  <si>
    <t>JRW205</t>
  </si>
  <si>
    <t>JRW21</t>
  </si>
  <si>
    <t>JRW21Z</t>
  </si>
  <si>
    <t>9168915</t>
  </si>
  <si>
    <t>9094761</t>
  </si>
  <si>
    <t>9060097</t>
  </si>
  <si>
    <t>9118707</t>
  </si>
  <si>
    <t>9060096</t>
  </si>
  <si>
    <t>9092946</t>
  </si>
  <si>
    <t>9060095</t>
  </si>
  <si>
    <t>9104899</t>
  </si>
  <si>
    <t>9064837</t>
  </si>
  <si>
    <t>9060224</t>
  </si>
  <si>
    <t>9062496</t>
  </si>
  <si>
    <t>9056285</t>
  </si>
  <si>
    <t>9056286</t>
  </si>
  <si>
    <t>9056290</t>
  </si>
  <si>
    <t>9056287</t>
  </si>
  <si>
    <t>9056291</t>
  </si>
  <si>
    <t>9056288</t>
  </si>
  <si>
    <t>9056292</t>
  </si>
  <si>
    <t>9056841</t>
  </si>
  <si>
    <t>JRW12</t>
  </si>
  <si>
    <t>JRW13</t>
  </si>
  <si>
    <t>JRW145</t>
  </si>
  <si>
    <t>JRW155</t>
  </si>
  <si>
    <t>JRW16</t>
  </si>
  <si>
    <t>JRW17</t>
  </si>
  <si>
    <t>JRW18</t>
  </si>
  <si>
    <t>9093734</t>
  </si>
  <si>
    <t>9070513</t>
  </si>
  <si>
    <t>9056282</t>
  </si>
  <si>
    <t>9056283</t>
  </si>
  <si>
    <t>9060210</t>
  </si>
  <si>
    <t>9062859</t>
  </si>
  <si>
    <t>9056289</t>
  </si>
  <si>
    <t>NF55/3015</t>
  </si>
  <si>
    <t>NF55/3020</t>
  </si>
  <si>
    <t>NF55/3025</t>
  </si>
  <si>
    <t>NF55/3026</t>
  </si>
  <si>
    <t>NF55/3028</t>
  </si>
  <si>
    <t>NF55/3030</t>
  </si>
  <si>
    <t>NF55/3228</t>
  </si>
  <si>
    <t>NF55/3515</t>
  </si>
  <si>
    <t>NF55/3520</t>
  </si>
  <si>
    <t>NF55/3525</t>
  </si>
  <si>
    <t>NF55/3528</t>
  </si>
  <si>
    <t>NF55/4010</t>
  </si>
  <si>
    <t>NF55/4015</t>
  </si>
  <si>
    <t>NF55/4020</t>
  </si>
  <si>
    <t>NF55/4025</t>
  </si>
  <si>
    <t>NF55/4028</t>
  </si>
  <si>
    <t>2023200</t>
  </si>
  <si>
    <t>2023100</t>
  </si>
  <si>
    <t>9006473</t>
  </si>
  <si>
    <t>2989800</t>
  </si>
  <si>
    <t>2940500</t>
  </si>
  <si>
    <t>9117328</t>
  </si>
  <si>
    <t>9053760</t>
  </si>
  <si>
    <t>9147305</t>
  </si>
  <si>
    <t>9087802</t>
  </si>
  <si>
    <t>9087809</t>
  </si>
  <si>
    <t>9121493</t>
  </si>
  <si>
    <t>9151248</t>
  </si>
  <si>
    <t>1487500</t>
  </si>
  <si>
    <t>1487600</t>
  </si>
  <si>
    <t>2882600</t>
  </si>
  <si>
    <t>3039300</t>
  </si>
  <si>
    <t>P9</t>
  </si>
  <si>
    <t>V2L-100</t>
  </si>
  <si>
    <t>V2LS-100</t>
  </si>
  <si>
    <t>V3L-100</t>
  </si>
  <si>
    <t>V3LK-100</t>
  </si>
  <si>
    <t>Lining:</t>
  </si>
  <si>
    <t>FIADA 2</t>
  </si>
  <si>
    <t>Alt. Tijolo</t>
  </si>
  <si>
    <t>A'</t>
  </si>
  <si>
    <t>B'</t>
  </si>
  <si>
    <t>Ø Int</t>
  </si>
  <si>
    <t>Ø Ext</t>
  </si>
  <si>
    <t>FIADA 31</t>
  </si>
  <si>
    <t>FIADA 32</t>
  </si>
  <si>
    <t>FIADA 33</t>
  </si>
  <si>
    <t>FIADA 34</t>
  </si>
  <si>
    <t>FIADA 35</t>
  </si>
  <si>
    <t>FIADA 36</t>
  </si>
  <si>
    <t>FIADA 37</t>
  </si>
  <si>
    <t>FIADA 38</t>
  </si>
  <si>
    <t>FIADA 39</t>
  </si>
  <si>
    <t>FIADA 40</t>
  </si>
  <si>
    <t>FIADA 41</t>
  </si>
  <si>
    <t>FIADA 42</t>
  </si>
  <si>
    <t>FIADA 43</t>
  </si>
  <si>
    <t>FIADA 44</t>
  </si>
  <si>
    <t>FIADA 45</t>
  </si>
  <si>
    <t>FIADA 46</t>
  </si>
  <si>
    <t>FIADA 47</t>
  </si>
  <si>
    <t>FIADA 48</t>
  </si>
  <si>
    <t>FIADA 49</t>
  </si>
  <si>
    <t>FIADA 50</t>
  </si>
  <si>
    <t>MORTAR CALCULATION %</t>
  </si>
  <si>
    <t>MORTAR CALCULATION VOL.</t>
  </si>
  <si>
    <t>Ângulo Esfera</t>
  </si>
  <si>
    <t>EQUIPAMENTO</t>
  </si>
  <si>
    <t>ÂNGULO AF</t>
  </si>
  <si>
    <t>TIJOLOS COMPOSIÇÃO</t>
  </si>
  <si>
    <t>TIJOLOS TOMBAMENTO</t>
  </si>
  <si>
    <t>NTX</t>
  </si>
  <si>
    <t>De</t>
  </si>
  <si>
    <t>Di</t>
  </si>
  <si>
    <t>NC IDEAL</t>
  </si>
  <si>
    <t>C- CUNHA</t>
  </si>
  <si>
    <t>ÂNGULO ANEL</t>
  </si>
  <si>
    <t>Resumo das peças</t>
  </si>
  <si>
    <t>Fiada 1</t>
  </si>
  <si>
    <t>Fiada 2</t>
  </si>
  <si>
    <t>Fiada 3</t>
  </si>
  <si>
    <t>Fiada 4</t>
  </si>
  <si>
    <t>Fiada 5</t>
  </si>
  <si>
    <t>Fiada 6</t>
  </si>
  <si>
    <t>Fiada 7</t>
  </si>
  <si>
    <t>Fiada 8</t>
  </si>
  <si>
    <t>Fiada 9</t>
  </si>
  <si>
    <t>Fiada 10</t>
  </si>
  <si>
    <t>Fiada 11</t>
  </si>
  <si>
    <t>Fiada 12</t>
  </si>
  <si>
    <t>Fiada 13</t>
  </si>
  <si>
    <t>Fiada 14</t>
  </si>
  <si>
    <t>Fiada 15</t>
  </si>
  <si>
    <t>Fiada 16</t>
  </si>
  <si>
    <t>Fiada 17</t>
  </si>
  <si>
    <t>Fiada 18</t>
  </si>
  <si>
    <t>Fiada 19</t>
  </si>
  <si>
    <t>Fiada 20</t>
  </si>
  <si>
    <t>Fiada 21</t>
  </si>
  <si>
    <t>Fiada 22</t>
  </si>
  <si>
    <t>Fiada 23</t>
  </si>
  <si>
    <t>Fiada 24</t>
  </si>
  <si>
    <t>Fiada 25</t>
  </si>
  <si>
    <t>Fiada 26</t>
  </si>
  <si>
    <t>Fiada 27</t>
  </si>
  <si>
    <t>Fiada 28</t>
  </si>
  <si>
    <t>Fiada 29</t>
  </si>
  <si>
    <t>Fiada 30</t>
  </si>
  <si>
    <t>Fiada 31</t>
  </si>
  <si>
    <t>Fiada 32</t>
  </si>
  <si>
    <t>Fiada 33</t>
  </si>
  <si>
    <t>Fiada 34</t>
  </si>
  <si>
    <t>Fiada 35</t>
  </si>
  <si>
    <t>Fiada 36</t>
  </si>
  <si>
    <t>Fiada 37</t>
  </si>
  <si>
    <t>Fiada 38</t>
  </si>
  <si>
    <t>Fiada 39</t>
  </si>
  <si>
    <t>Fiada 40</t>
  </si>
  <si>
    <t>Fiada 41</t>
  </si>
  <si>
    <t>Fiada 42</t>
  </si>
  <si>
    <t>Fiada 43</t>
  </si>
  <si>
    <t>Fiada 44</t>
  </si>
  <si>
    <t>Fiada 45</t>
  </si>
  <si>
    <t>Fiada 46</t>
  </si>
  <si>
    <t>Fiada 47</t>
  </si>
  <si>
    <t>Fiada 48</t>
  </si>
  <si>
    <t>Fiada 49</t>
  </si>
  <si>
    <t>Fiada 50</t>
  </si>
  <si>
    <t>Chegagem Perímetro</t>
  </si>
  <si>
    <t>Altura</t>
  </si>
  <si>
    <t>Area Superficial</t>
  </si>
  <si>
    <t>metros quadrados</t>
  </si>
  <si>
    <t>Ø Fecham.</t>
  </si>
  <si>
    <t>ELEKTRODE 3,2X350 ST</t>
  </si>
  <si>
    <t>ELETRODO</t>
  </si>
  <si>
    <t>ÂNCORA METÁLICA (50%)</t>
  </si>
  <si>
    <t>INSTRUÇÕES</t>
  </si>
  <si>
    <t>SPECIAL ELECTRODE NA</t>
  </si>
  <si>
    <t>SPECIAL ELECTRODE ST</t>
  </si>
  <si>
    <t>SPECIAL ELECTRODE UN</t>
  </si>
  <si>
    <t>SPECIAL ELECTRODE HR</t>
  </si>
  <si>
    <t>ELEKTRODE 3,2X350 NA PACKET</t>
  </si>
  <si>
    <t>ELEKTRODE 3,2X350 ST PACKET</t>
  </si>
  <si>
    <t>ELEKTRODE 3,2X350 UN PACKET</t>
  </si>
  <si>
    <t>ELEKTRODE 3,2X350 HR PACKET</t>
  </si>
  <si>
    <t>EUROPA - AÇO COMUM</t>
  </si>
  <si>
    <t>EUROPA - AÇO 304 E 310</t>
  </si>
  <si>
    <t>EUROPA</t>
  </si>
  <si>
    <t xml:space="preserve">j                                    </t>
  </si>
  <si>
    <t>Tamanho Painel(mm)</t>
  </si>
  <si>
    <t>ÂNCORA CERÂMICA (50%)</t>
  </si>
  <si>
    <t>FORMATOS EAF</t>
  </si>
  <si>
    <t>DIVASIL</t>
  </si>
  <si>
    <t>Outros</t>
  </si>
  <si>
    <t>DIVASIL FP</t>
  </si>
  <si>
    <t>Liquid Binder</t>
  </si>
  <si>
    <t>Litros/100kg</t>
  </si>
  <si>
    <t>ACCELERATOR C</t>
  </si>
  <si>
    <t>A12X41/2X3-23/4</t>
  </si>
  <si>
    <t>A12X41/2X3-21/2</t>
  </si>
  <si>
    <t>A12X41/2X3-2</t>
  </si>
  <si>
    <t>A12X6X3-23/4</t>
  </si>
  <si>
    <t>A18X41/2X3-21/2</t>
  </si>
  <si>
    <t>A18X41/2X3-2</t>
  </si>
  <si>
    <t>A18X6X3-23/4</t>
  </si>
  <si>
    <t>A18X6X3-21/2</t>
  </si>
  <si>
    <t>A18X6X3-2</t>
  </si>
  <si>
    <t>A18X9X3-23/4</t>
  </si>
  <si>
    <t>A9X3X3-21/2</t>
  </si>
  <si>
    <t>A9X3X3-23/4</t>
  </si>
  <si>
    <t>A9X63/4X3-23/4</t>
  </si>
  <si>
    <t>A9X6X3-23/4</t>
  </si>
  <si>
    <t>A9X6X3-21/2</t>
  </si>
  <si>
    <t>A9X41/2X3-27/8</t>
  </si>
  <si>
    <t>A12X9X3-21/2</t>
  </si>
  <si>
    <t>A12X9X3-23/4</t>
  </si>
  <si>
    <t>A12X6X3-21/2</t>
  </si>
  <si>
    <t>A9X41/2X3-21/2</t>
  </si>
  <si>
    <t>A9X41/2X3-2</t>
  </si>
  <si>
    <t>A9X6X3-2</t>
  </si>
  <si>
    <t>A9X41/2X3-23/4</t>
  </si>
  <si>
    <t>A12X6X3-2</t>
  </si>
  <si>
    <t>A18X9X3-2</t>
  </si>
  <si>
    <t>A15X6X3-2</t>
  </si>
  <si>
    <t>A9X63/4X3-2</t>
  </si>
  <si>
    <t>A15X6X3-21/2</t>
  </si>
  <si>
    <t>A9X21/2X3-23/4</t>
  </si>
  <si>
    <t>A18X6X3-1</t>
  </si>
  <si>
    <t>A18X6X3-11/2</t>
  </si>
  <si>
    <t>A8X63/4X3-23/4</t>
  </si>
  <si>
    <t>A9X41/2X100-95</t>
  </si>
  <si>
    <t>A9X5X100-95</t>
  </si>
  <si>
    <t>A9X5X3-23/4</t>
  </si>
  <si>
    <t>A9X2X3-23/4</t>
  </si>
  <si>
    <t>A8X63/4X3-21/2</t>
  </si>
  <si>
    <t>A9X5X100-90</t>
  </si>
  <si>
    <t>A9X5X3-21/2</t>
  </si>
  <si>
    <t>A9X5X3-2</t>
  </si>
  <si>
    <t>A12X63/4X3-2</t>
  </si>
  <si>
    <t>A9X41/2X3-11/2</t>
  </si>
  <si>
    <t>A9X6X3-11/2</t>
  </si>
  <si>
    <t>A9X63/4X3-11/2</t>
  </si>
  <si>
    <t>A18X9X3-11/2</t>
  </si>
  <si>
    <t>A9X21/2X3-21/2</t>
  </si>
  <si>
    <t>Metallic Anchors</t>
  </si>
  <si>
    <t>ANCHOR TYPE</t>
  </si>
  <si>
    <t>DIAMETER</t>
  </si>
  <si>
    <t>Total length</t>
  </si>
  <si>
    <t>Material</t>
  </si>
  <si>
    <t>Cálculo Volume</t>
  </si>
  <si>
    <t>CH1</t>
  </si>
  <si>
    <t>CH2</t>
  </si>
  <si>
    <t>CH3</t>
  </si>
  <si>
    <t>TYPE</t>
  </si>
  <si>
    <t>CV1</t>
  </si>
  <si>
    <t>CV2</t>
  </si>
  <si>
    <t>CV3</t>
  </si>
  <si>
    <t>STP</t>
  </si>
  <si>
    <t>CTP</t>
  </si>
  <si>
    <t>HTP</t>
  </si>
  <si>
    <t>TWA</t>
  </si>
  <si>
    <t>TWM</t>
  </si>
  <si>
    <t>Step Length</t>
  </si>
  <si>
    <t>VOLUME</t>
  </si>
  <si>
    <t>STH</t>
  </si>
  <si>
    <t>CTH</t>
  </si>
  <si>
    <t>HTH</t>
  </si>
  <si>
    <t>YHA</t>
  </si>
  <si>
    <t>SKD</t>
  </si>
  <si>
    <t>WB</t>
  </si>
  <si>
    <t>SLA</t>
  </si>
  <si>
    <t>SKL</t>
  </si>
  <si>
    <t>BU</t>
  </si>
  <si>
    <t>GKB</t>
  </si>
  <si>
    <t>KSET</t>
  </si>
  <si>
    <t>UAH01</t>
  </si>
  <si>
    <t>UAH02</t>
  </si>
  <si>
    <t>BL</t>
  </si>
  <si>
    <t>Material?</t>
  </si>
  <si>
    <t>GK</t>
  </si>
  <si>
    <t>AH150</t>
  </si>
  <si>
    <t>Ceramic Anchors</t>
  </si>
  <si>
    <t>AH175</t>
  </si>
  <si>
    <t>AH200</t>
  </si>
  <si>
    <t>AH225</t>
  </si>
  <si>
    <t>AH250</t>
  </si>
  <si>
    <t>AH275</t>
  </si>
  <si>
    <t>AH300</t>
  </si>
  <si>
    <t>AH325</t>
  </si>
  <si>
    <t>AH350</t>
  </si>
  <si>
    <t>AH375</t>
  </si>
  <si>
    <t>AH400</t>
  </si>
  <si>
    <t>AH425</t>
  </si>
  <si>
    <t>AH450</t>
  </si>
  <si>
    <t>AH475</t>
  </si>
  <si>
    <t>AH500</t>
  </si>
  <si>
    <t>FE6</t>
  </si>
  <si>
    <t>FE7</t>
  </si>
  <si>
    <t>FE8</t>
  </si>
  <si>
    <t>FE11</t>
  </si>
  <si>
    <t>FE12</t>
  </si>
  <si>
    <t>ESPESSURA</t>
  </si>
  <si>
    <t>FE4</t>
  </si>
  <si>
    <t>2BFE4</t>
  </si>
  <si>
    <t>1FE4-76</t>
  </si>
  <si>
    <t>1FE4</t>
  </si>
  <si>
    <t>FE4-76</t>
  </si>
  <si>
    <t>1BFE4-76</t>
  </si>
  <si>
    <t>1BFE4</t>
  </si>
  <si>
    <t>2BFE4-76</t>
  </si>
  <si>
    <t>FE5</t>
  </si>
  <si>
    <t>2BFE5</t>
  </si>
  <si>
    <t>1FE5-76</t>
  </si>
  <si>
    <t>FE5-76</t>
  </si>
  <si>
    <t>1FE5</t>
  </si>
  <si>
    <t>1BFE5-76</t>
  </si>
  <si>
    <t>1BFE5</t>
  </si>
  <si>
    <t>2BFE5-76</t>
  </si>
  <si>
    <t>1BFE6-76</t>
  </si>
  <si>
    <t>2BFE6</t>
  </si>
  <si>
    <t>1FE6-76</t>
  </si>
  <si>
    <t>1FE6</t>
  </si>
  <si>
    <t>FE6-76</t>
  </si>
  <si>
    <t>2BFE6-76</t>
  </si>
  <si>
    <t>1BFE7-76</t>
  </si>
  <si>
    <t>2BFE7</t>
  </si>
  <si>
    <t>1FE7-76</t>
  </si>
  <si>
    <t>FE7-76</t>
  </si>
  <si>
    <t>2BFE7-76</t>
  </si>
  <si>
    <t>1FE7</t>
  </si>
  <si>
    <t>3FE8-76</t>
  </si>
  <si>
    <t>1FE8</t>
  </si>
  <si>
    <t>FE8-76</t>
  </si>
  <si>
    <t>3FE8</t>
  </si>
  <si>
    <t>2BFE8</t>
  </si>
  <si>
    <t>2BFE8-76</t>
  </si>
  <si>
    <t>1FE8-76</t>
  </si>
  <si>
    <t>1BFE8</t>
  </si>
  <si>
    <t>1BFE8-76</t>
  </si>
  <si>
    <t>FE9-76</t>
  </si>
  <si>
    <t>3FE9</t>
  </si>
  <si>
    <t>FE9</t>
  </si>
  <si>
    <t>1FE9-76</t>
  </si>
  <si>
    <t>1FE9</t>
  </si>
  <si>
    <t>3FE9-76</t>
  </si>
  <si>
    <t>FE10</t>
  </si>
  <si>
    <t>FE10-76</t>
  </si>
  <si>
    <t>3FE10</t>
  </si>
  <si>
    <t>1FE10-76</t>
  </si>
  <si>
    <t>1FE10</t>
  </si>
  <si>
    <t>3FE10-76</t>
  </si>
  <si>
    <t>FE11-76</t>
  </si>
  <si>
    <t>3FE11</t>
  </si>
  <si>
    <t>1FE11-76</t>
  </si>
  <si>
    <t>1FE11</t>
  </si>
  <si>
    <t>3FE11-76</t>
  </si>
  <si>
    <t>1FE12</t>
  </si>
  <si>
    <t>FE12-76</t>
  </si>
  <si>
    <t>3FE12</t>
  </si>
  <si>
    <t>1FE12-76</t>
  </si>
  <si>
    <t>3FE12-76</t>
  </si>
  <si>
    <t>1DFE8</t>
  </si>
  <si>
    <t>1DFE8-76</t>
  </si>
  <si>
    <t>2DFE8</t>
  </si>
  <si>
    <t>2DFE8-76</t>
  </si>
  <si>
    <t>3DFE8-76</t>
  </si>
  <si>
    <t>S6X41/2X3</t>
  </si>
  <si>
    <t>S6X6X4</t>
  </si>
  <si>
    <t>S6X6X3</t>
  </si>
  <si>
    <t>S6X6X2</t>
  </si>
  <si>
    <t>S6X6X51/2</t>
  </si>
  <si>
    <t>S6X41/2X21/2</t>
  </si>
  <si>
    <t>S6X6X6</t>
  </si>
  <si>
    <t>S6X6X41/2</t>
  </si>
  <si>
    <t>S6X51/2X4</t>
  </si>
  <si>
    <t>S6X5X3</t>
  </si>
  <si>
    <t>S6X41/2X100</t>
  </si>
  <si>
    <t>S7X6X4</t>
  </si>
  <si>
    <t>S7X6X3</t>
  </si>
  <si>
    <t>S7X6X100</t>
  </si>
  <si>
    <t>S7X6X21/4</t>
  </si>
  <si>
    <t>S7X7X21/4</t>
  </si>
  <si>
    <t>S7X6X21/2</t>
  </si>
  <si>
    <t>S7X41/2X3</t>
  </si>
  <si>
    <t>S7X6X2</t>
  </si>
  <si>
    <t>S7X3X3</t>
  </si>
  <si>
    <t>S7X5X4</t>
  </si>
  <si>
    <t>S8X6X3</t>
  </si>
  <si>
    <t>S8X4X23/8</t>
  </si>
  <si>
    <t>S8X4X3</t>
  </si>
  <si>
    <t>S8X41/2X23/4</t>
  </si>
  <si>
    <t>S8X63/4X100</t>
  </si>
  <si>
    <t>S9X6X100</t>
  </si>
  <si>
    <t>S9X41/2X21/2</t>
  </si>
  <si>
    <t>S9X41/2X11/4</t>
  </si>
  <si>
    <t>S9X41/2X2</t>
  </si>
  <si>
    <t>S9X41/2X41/2</t>
  </si>
  <si>
    <t>S9X6X11/2</t>
  </si>
  <si>
    <t>S9X6X2</t>
  </si>
  <si>
    <t>S9X6X21/2</t>
  </si>
  <si>
    <t>S9X6X41/2</t>
  </si>
  <si>
    <t>S9X9X4</t>
  </si>
  <si>
    <t>S9X9X6</t>
  </si>
  <si>
    <t>S9X3X21/2</t>
  </si>
  <si>
    <t>S9X3X21/4</t>
  </si>
  <si>
    <t>S9X41/2X1</t>
  </si>
  <si>
    <t>S9X41/2X100</t>
  </si>
  <si>
    <t>S9X9X100</t>
  </si>
  <si>
    <t>S9X8X3</t>
  </si>
  <si>
    <t>S9X9X41/2</t>
  </si>
  <si>
    <t>S9X3X3</t>
  </si>
  <si>
    <t>S9X41/2X3</t>
  </si>
  <si>
    <t>S9X6X3</t>
  </si>
  <si>
    <t>S9X41/2X11/2</t>
  </si>
  <si>
    <t>S9X9X3</t>
  </si>
  <si>
    <t>S9X4X3</t>
  </si>
  <si>
    <t>S9X9X2</t>
  </si>
  <si>
    <t>S9X9X21/2</t>
  </si>
  <si>
    <t>S9X6X4</t>
  </si>
  <si>
    <t>S9X21/2X21/2</t>
  </si>
  <si>
    <t>S9X63/4X11/2</t>
  </si>
  <si>
    <t>S9X63/4X2</t>
  </si>
  <si>
    <t>S9X6X1</t>
  </si>
  <si>
    <t>S9X9X11/2</t>
  </si>
  <si>
    <t>S9X4X4</t>
  </si>
  <si>
    <t>S9X6X11/4</t>
  </si>
  <si>
    <t>S9X7X3</t>
  </si>
  <si>
    <t>S9X9X11/4</t>
  </si>
  <si>
    <t>S9X6X6</t>
  </si>
  <si>
    <t>S9X41/2X4</t>
  </si>
  <si>
    <t>S9X9X9</t>
  </si>
  <si>
    <t>S9X8X6</t>
  </si>
  <si>
    <t>S9X8X21/2</t>
  </si>
  <si>
    <t>S9X9X1</t>
  </si>
  <si>
    <t>S9X5X3</t>
  </si>
  <si>
    <t>S9X6X3/4</t>
  </si>
  <si>
    <t>S9X41/2X40</t>
  </si>
  <si>
    <t>S9X41/2X64</t>
  </si>
  <si>
    <t>S12X6X100</t>
  </si>
  <si>
    <t>S12X6X1</t>
  </si>
  <si>
    <t>S12X6X11/2</t>
  </si>
  <si>
    <t>S12X6X41/2</t>
  </si>
  <si>
    <t>S12X9X2</t>
  </si>
  <si>
    <t>S12X9X21/2</t>
  </si>
  <si>
    <t>S12X9x100</t>
  </si>
  <si>
    <t>S12X9X41/2</t>
  </si>
  <si>
    <t>S12X12X2</t>
  </si>
  <si>
    <t>S12X6X4</t>
  </si>
  <si>
    <t>S12X8X3</t>
  </si>
  <si>
    <t>S12X9X4</t>
  </si>
  <si>
    <t>S12X3X100</t>
  </si>
  <si>
    <t>S12X41/2X3</t>
  </si>
  <si>
    <t>S12X6X3</t>
  </si>
  <si>
    <t>S12X9X3</t>
  </si>
  <si>
    <t>S12X6X2</t>
  </si>
  <si>
    <t>S12X6X21/2</t>
  </si>
  <si>
    <t>S12X12X1</t>
  </si>
  <si>
    <t>S12X12X3</t>
  </si>
  <si>
    <t>S12X9X11/2</t>
  </si>
  <si>
    <t>S12X41/2X2</t>
  </si>
  <si>
    <t>S12X41/2X4</t>
  </si>
  <si>
    <t>S12X12X6</t>
  </si>
  <si>
    <t>S12X12X5</t>
  </si>
  <si>
    <t>S12X12X4</t>
  </si>
  <si>
    <t>S12X9X6</t>
  </si>
  <si>
    <t>S12X8X4</t>
  </si>
  <si>
    <t>S12X4X3</t>
  </si>
  <si>
    <t>S12X6X11/4</t>
  </si>
  <si>
    <t>S12X6X5</t>
  </si>
  <si>
    <t>S12X9X11/4</t>
  </si>
  <si>
    <t>S12X12X41/2</t>
  </si>
  <si>
    <t>S12X41/2X1</t>
  </si>
  <si>
    <t>S12X12X11/4</t>
  </si>
  <si>
    <t>S12X12X11/2</t>
  </si>
  <si>
    <t>S12X9X8</t>
  </si>
  <si>
    <t>S12X5X4</t>
  </si>
  <si>
    <t>S12X9X1</t>
  </si>
  <si>
    <t>S12X9X5</t>
  </si>
  <si>
    <t>S12X12X100</t>
  </si>
  <si>
    <t>S12X12X21/2</t>
  </si>
  <si>
    <t>S12X41/2X21/2</t>
  </si>
  <si>
    <t>S15X3X3</t>
  </si>
  <si>
    <t>S15X6X11/2</t>
  </si>
  <si>
    <t>S15X6X2</t>
  </si>
  <si>
    <t>S15X6X21/2</t>
  </si>
  <si>
    <t>S15X6X4</t>
  </si>
  <si>
    <t>S15X6X41/2</t>
  </si>
  <si>
    <t>S15X3X100</t>
  </si>
  <si>
    <t>S15X8X3</t>
  </si>
  <si>
    <t>S15X6X11/4</t>
  </si>
  <si>
    <t>S15X41/2X3</t>
  </si>
  <si>
    <t>S15X6X3</t>
  </si>
  <si>
    <t>S15X6X6</t>
  </si>
  <si>
    <t>S15X8X6</t>
  </si>
  <si>
    <t>S15X12X3</t>
  </si>
  <si>
    <t>S15X9X3</t>
  </si>
  <si>
    <t>S15X4X4</t>
  </si>
  <si>
    <t>S15X6X100</t>
  </si>
  <si>
    <t>S15X9X2</t>
  </si>
  <si>
    <t>S15X12X11/2</t>
  </si>
  <si>
    <t>S15X12X2</t>
  </si>
  <si>
    <t>S15X9X41/2</t>
  </si>
  <si>
    <t>S15X9X21/2</t>
  </si>
  <si>
    <t>S15X15X2</t>
  </si>
  <si>
    <t>S15X9X4</t>
  </si>
  <si>
    <t>S15X12X4</t>
  </si>
  <si>
    <t>S15X12X6</t>
  </si>
  <si>
    <t>S15X15X3</t>
  </si>
  <si>
    <t>S15X9X6</t>
  </si>
  <si>
    <t>S15X41/2X1</t>
  </si>
  <si>
    <t>S15X12X100</t>
  </si>
  <si>
    <t>S15X9X100</t>
  </si>
  <si>
    <t>S15X12X21/2</t>
  </si>
  <si>
    <t>S15X5X3</t>
  </si>
  <si>
    <t>S15X7X3</t>
  </si>
  <si>
    <t>S15X41/2X21/2</t>
  </si>
  <si>
    <t>S12X41/2X11/2</t>
  </si>
  <si>
    <t>S12X41/2X41/2</t>
  </si>
  <si>
    <t>S15X41/2X41/2</t>
  </si>
  <si>
    <t>S18X6X100</t>
  </si>
  <si>
    <t>S18X6X2</t>
  </si>
  <si>
    <t>S18X6X21/2</t>
  </si>
  <si>
    <t>S18X6X4</t>
  </si>
  <si>
    <t>S18X6X41/2</t>
  </si>
  <si>
    <t>S18X9X21/2</t>
  </si>
  <si>
    <t>S18X9X4</t>
  </si>
  <si>
    <t>S18X9X41/2</t>
  </si>
  <si>
    <t>S18X9X6</t>
  </si>
  <si>
    <t>S18X9X100</t>
  </si>
  <si>
    <t>S18X12X2</t>
  </si>
  <si>
    <t>S18X15X21/2</t>
  </si>
  <si>
    <t>S18X18X41/2</t>
  </si>
  <si>
    <t>S18X6X3</t>
  </si>
  <si>
    <t>S18X9X3</t>
  </si>
  <si>
    <t>S18X12X3</t>
  </si>
  <si>
    <t>S18X12X6</t>
  </si>
  <si>
    <t>S18X12X8</t>
  </si>
  <si>
    <t>S18X18X4</t>
  </si>
  <si>
    <t>S18X6X6</t>
  </si>
  <si>
    <t>S18X15X3</t>
  </si>
  <si>
    <t>S18X18X21/2</t>
  </si>
  <si>
    <t>S18X18X3</t>
  </si>
  <si>
    <t>S18X8X3</t>
  </si>
  <si>
    <t>S18X8X41/2</t>
  </si>
  <si>
    <t>S18X12X4</t>
  </si>
  <si>
    <t>S18X15X4</t>
  </si>
  <si>
    <t>S18X8X8</t>
  </si>
  <si>
    <t>S18X15X5</t>
  </si>
  <si>
    <t>S18X18X9</t>
  </si>
  <si>
    <t>S18X12X12</t>
  </si>
  <si>
    <t>S18X12X9</t>
  </si>
  <si>
    <t>S18X9X2</t>
  </si>
  <si>
    <t>S18X12X21/2</t>
  </si>
  <si>
    <t>S18X15X2</t>
  </si>
  <si>
    <t>S18X18X6</t>
  </si>
  <si>
    <t>S18X12X100</t>
  </si>
  <si>
    <t>S18X8X4</t>
  </si>
  <si>
    <t>S21X6X100</t>
  </si>
  <si>
    <t>S21X9X3</t>
  </si>
  <si>
    <t>S21X6X3</t>
  </si>
  <si>
    <t>S21X6X6</t>
  </si>
  <si>
    <t>S21X6X4</t>
  </si>
  <si>
    <t>S21X12X3</t>
  </si>
  <si>
    <t>S21X6X21/2</t>
  </si>
  <si>
    <t>S21X18X9</t>
  </si>
  <si>
    <t>S21X18X3</t>
  </si>
  <si>
    <t>S21X18X21/2</t>
  </si>
  <si>
    <t>S21X12X12</t>
  </si>
  <si>
    <t>S21X21X12</t>
  </si>
  <si>
    <t>S21X9X21/2</t>
  </si>
  <si>
    <t>S21X6X41/2</t>
  </si>
  <si>
    <t>A6X41/2X3-1</t>
  </si>
  <si>
    <t>A8X63/4X21/4</t>
  </si>
  <si>
    <t>A9X3X41/2-4</t>
  </si>
  <si>
    <t>A9X3X3-2</t>
  </si>
  <si>
    <t>A9X3X3-21/4</t>
  </si>
  <si>
    <t>A9X4X3-23/4</t>
  </si>
  <si>
    <t>A9X2X3-21/2</t>
  </si>
  <si>
    <t>A9X3X4-33/4</t>
  </si>
  <si>
    <t>A12X41/2X3-1</t>
  </si>
  <si>
    <t>A12X6X3-11/2</t>
  </si>
  <si>
    <t>A12X6X3-27/8</t>
  </si>
  <si>
    <t>A12X9X3-27/8</t>
  </si>
  <si>
    <t>A12X6X3-1</t>
  </si>
  <si>
    <t>A12X63/4X3-1</t>
  </si>
  <si>
    <t>A9X41/2X4-21/2</t>
  </si>
  <si>
    <t>A9X41/2X4-23/4</t>
  </si>
  <si>
    <t>A9X41/2X3-21/4</t>
  </si>
  <si>
    <t>A15X41/2X3-2</t>
  </si>
  <si>
    <t>A15X6X3-23/4</t>
  </si>
  <si>
    <t>A15X9X3-21/2</t>
  </si>
  <si>
    <t>A15X9X3-23/4</t>
  </si>
  <si>
    <t>A15X9X3-2</t>
  </si>
  <si>
    <t>A15X6X3-11/2</t>
  </si>
  <si>
    <t>A15X9X3-27/8</t>
  </si>
  <si>
    <t>A15X41/2X3-23/4</t>
  </si>
  <si>
    <t>A18X9X3-27/8</t>
  </si>
  <si>
    <t>A18X9X3-1</t>
  </si>
  <si>
    <t>A18X6X3-27/8</t>
  </si>
  <si>
    <t>A18X41/2X3-1</t>
  </si>
  <si>
    <t>A18X9X4-3</t>
  </si>
  <si>
    <t>A18X63/4X3-2</t>
  </si>
  <si>
    <t>A18X12X3-21/2</t>
  </si>
  <si>
    <t>PARALELOS ASTM</t>
  </si>
  <si>
    <t>ARCOS ASTM</t>
  </si>
  <si>
    <t>CUNHA ASTM</t>
  </si>
  <si>
    <t>W6X6X3-21/2</t>
  </si>
  <si>
    <t>W6X6X3-23/4</t>
  </si>
  <si>
    <t>W6X6X3-2</t>
  </si>
  <si>
    <t>W7X6-513/32X</t>
  </si>
  <si>
    <t>W7X6-5X100</t>
  </si>
  <si>
    <t>W9X63/4X3-2</t>
  </si>
  <si>
    <t>W9X9X3-1</t>
  </si>
  <si>
    <t>W9X6X3-21/2</t>
  </si>
  <si>
    <t>W9X6X3-2</t>
  </si>
  <si>
    <t>W9X9X3-21/2</t>
  </si>
  <si>
    <t>W9X9X3-2</t>
  </si>
  <si>
    <t>W9X6X3-23/4</t>
  </si>
  <si>
    <t>W9X9X3-23/4</t>
  </si>
  <si>
    <t>W9X41/2X3-2</t>
  </si>
  <si>
    <t>W9X41/2X3-1</t>
  </si>
  <si>
    <t>W9X6X3-27/8</t>
  </si>
  <si>
    <t>W9X9X3-27/8</t>
  </si>
  <si>
    <t>W9X9X31/2-3</t>
  </si>
  <si>
    <t>W9X41/2X4-3</t>
  </si>
  <si>
    <t>W9X6X31/2-3</t>
  </si>
  <si>
    <t>W9X6X3-11/2</t>
  </si>
  <si>
    <t>W9X5X100-95</t>
  </si>
  <si>
    <t>W9X5X3-23/4</t>
  </si>
  <si>
    <t>W9X9X100-95</t>
  </si>
  <si>
    <t>W9X5X100-90</t>
  </si>
  <si>
    <t>W9X5X3-21/2</t>
  </si>
  <si>
    <t>W9X5X3-2</t>
  </si>
  <si>
    <t>W9X5X3-11/2</t>
  </si>
  <si>
    <t>W8X63/4X100-90</t>
  </si>
  <si>
    <t>W8X63/4X3-21/2</t>
  </si>
  <si>
    <t>W8X63/4X3-23/4</t>
  </si>
  <si>
    <t>W8X63/4X100-95</t>
  </si>
  <si>
    <t>W9X41/2X3-23/4</t>
  </si>
  <si>
    <t>W9X63/4X100-90</t>
  </si>
  <si>
    <t>W9X63/4X3-23/4</t>
  </si>
  <si>
    <t>W9X41/2X3-21/2</t>
  </si>
  <si>
    <t>W9X63/4X3-21/2</t>
  </si>
  <si>
    <t>W9X41/2X3-27/8</t>
  </si>
  <si>
    <t>W9X63/4X21/2-11/2</t>
  </si>
  <si>
    <t>W9X6X31/2-23/4</t>
  </si>
  <si>
    <t>W9X6X31/2-21/2</t>
  </si>
  <si>
    <t>W9X9X31/2-23/4</t>
  </si>
  <si>
    <t>W9X41/2X3-11/2</t>
  </si>
  <si>
    <t>W9X63/4X3-27/8</t>
  </si>
  <si>
    <t>W9X41/2X100-90</t>
  </si>
  <si>
    <t>W9X41/2X4-23/4</t>
  </si>
  <si>
    <t>W9X41/2X4-21/2</t>
  </si>
  <si>
    <t>W9X9X31/2-27/8</t>
  </si>
  <si>
    <t>W9X41/2X100-95</t>
  </si>
  <si>
    <t>W12X41/2X3-2</t>
  </si>
  <si>
    <t>W12X6X3-2</t>
  </si>
  <si>
    <t>W12X9X3-2</t>
  </si>
  <si>
    <t>W12X6X3-21/2</t>
  </si>
  <si>
    <t>W12X9X3-21/2</t>
  </si>
  <si>
    <t>W12X9X4-3</t>
  </si>
  <si>
    <t>W12X41/2X3-1</t>
  </si>
  <si>
    <t>W12X6X3-23/4</t>
  </si>
  <si>
    <t>W12X9X3-23/4</t>
  </si>
  <si>
    <t>W12X6X3-27/8</t>
  </si>
  <si>
    <t>W12X9X3-27/8</t>
  </si>
  <si>
    <t>W12X12X3-2</t>
  </si>
  <si>
    <t>W12X63/4X3-2</t>
  </si>
  <si>
    <t>W12X6X6-5</t>
  </si>
  <si>
    <t>W12X9X102-92</t>
  </si>
  <si>
    <t>W12X41/2X102</t>
  </si>
  <si>
    <t>W12X9X102-82</t>
  </si>
  <si>
    <t>W12X6X102-82</t>
  </si>
  <si>
    <t>W12X9X102-62</t>
  </si>
  <si>
    <t>W12X9X3-11/2</t>
  </si>
  <si>
    <t>W12X41/2X3-23/4</t>
  </si>
  <si>
    <t>W12X41/2X3-21/2</t>
  </si>
  <si>
    <t>W12X12X3-21/2</t>
  </si>
  <si>
    <t>W12X63/4X3-23/4</t>
  </si>
  <si>
    <t>W12X63/4X3-21/2</t>
  </si>
  <si>
    <t>W12X41/2X3-27/8</t>
  </si>
  <si>
    <t>W12X12X3-27/8</t>
  </si>
  <si>
    <t>W12X12X3-23/4</t>
  </si>
  <si>
    <t>FE Anchors</t>
  </si>
  <si>
    <t>RADIAL ASTM</t>
  </si>
  <si>
    <t>ISO CIMENTO</t>
  </si>
  <si>
    <t>B216</t>
  </si>
  <si>
    <t>B316</t>
  </si>
  <si>
    <t>B416</t>
  </si>
  <si>
    <t>B616</t>
  </si>
  <si>
    <t>B716</t>
  </si>
  <si>
    <t>B518</t>
  </si>
  <si>
    <t>B520</t>
  </si>
  <si>
    <t>B820</t>
  </si>
  <si>
    <t>B522</t>
  </si>
  <si>
    <t>B822</t>
  </si>
  <si>
    <t>B225</t>
  </si>
  <si>
    <t>B230</t>
  </si>
  <si>
    <t>B430</t>
  </si>
  <si>
    <t>B730</t>
  </si>
  <si>
    <t>B218L300</t>
  </si>
  <si>
    <t>B318L300</t>
  </si>
  <si>
    <t>B418L300</t>
  </si>
  <si>
    <t>B618L300</t>
  </si>
  <si>
    <t>B220L300</t>
  </si>
  <si>
    <t>B320L300</t>
  </si>
  <si>
    <t>B420L300</t>
  </si>
  <si>
    <t>B520L300</t>
  </si>
  <si>
    <t>B620L300</t>
  </si>
  <si>
    <t>B820L300</t>
  </si>
  <si>
    <t>B222L300</t>
  </si>
  <si>
    <t>B322L300</t>
  </si>
  <si>
    <t>B422L300</t>
  </si>
  <si>
    <t>B522L300</t>
  </si>
  <si>
    <t>B622L300</t>
  </si>
  <si>
    <t>B822L300</t>
  </si>
  <si>
    <t>B225L300</t>
  </si>
  <si>
    <t>B325L300</t>
  </si>
  <si>
    <t>B425L300</t>
  </si>
  <si>
    <t>B625L300</t>
  </si>
  <si>
    <t>B725L300</t>
  </si>
  <si>
    <t>B825L300</t>
  </si>
  <si>
    <t>B220L250</t>
  </si>
  <si>
    <t>B320L250</t>
  </si>
  <si>
    <t>B420L250</t>
  </si>
  <si>
    <t>B620L250</t>
  </si>
  <si>
    <t>B222L250</t>
  </si>
  <si>
    <t>B322L250</t>
  </si>
  <si>
    <t>B422L250</t>
  </si>
  <si>
    <t>B622L250</t>
  </si>
  <si>
    <t>B822L250</t>
  </si>
  <si>
    <t>B425L250</t>
  </si>
  <si>
    <t>KEY BRICKS</t>
  </si>
  <si>
    <t>PB160</t>
  </si>
  <si>
    <t>PB161</t>
  </si>
  <si>
    <t>PB180</t>
  </si>
  <si>
    <t>PB181</t>
  </si>
  <si>
    <t>PB183**</t>
  </si>
  <si>
    <t>PB200</t>
  </si>
  <si>
    <t>PB201</t>
  </si>
  <si>
    <t>PB203**</t>
  </si>
  <si>
    <t>PB220</t>
  </si>
  <si>
    <t>PB221</t>
  </si>
  <si>
    <t>PB223**</t>
  </si>
  <si>
    <t>PB250</t>
  </si>
  <si>
    <t>PB251</t>
  </si>
  <si>
    <t>PB253**</t>
  </si>
  <si>
    <t>PB300</t>
  </si>
  <si>
    <t>PB301</t>
  </si>
  <si>
    <t>PB160L300</t>
  </si>
  <si>
    <t>PB161L300</t>
  </si>
  <si>
    <t>PB180L300</t>
  </si>
  <si>
    <t>PB181L300</t>
  </si>
  <si>
    <t>PB200L300</t>
  </si>
  <si>
    <t>PB201L300</t>
  </si>
  <si>
    <t>PB220L300</t>
  </si>
  <si>
    <t>PB221L300</t>
  </si>
  <si>
    <t>PB250L300</t>
  </si>
  <si>
    <t>PB251L300</t>
  </si>
  <si>
    <t>PB300L300</t>
  </si>
  <si>
    <t>PB301L300</t>
  </si>
  <si>
    <t>PB160L250</t>
  </si>
  <si>
    <t>PB161L250</t>
  </si>
  <si>
    <t>PB180L250</t>
  </si>
  <si>
    <t>PB181L250</t>
  </si>
  <si>
    <t>PB200L250</t>
  </si>
  <si>
    <t>PB201L250</t>
  </si>
  <si>
    <t>PB220L250</t>
  </si>
  <si>
    <t>PB221L250</t>
  </si>
  <si>
    <t>PB250L250</t>
  </si>
  <si>
    <t>PB251L250</t>
  </si>
  <si>
    <t>PB300L250</t>
  </si>
  <si>
    <t>PB301L250</t>
  </si>
  <si>
    <t>218L300</t>
  </si>
  <si>
    <t>318L300</t>
  </si>
  <si>
    <t>418L300</t>
  </si>
  <si>
    <t>618L300</t>
  </si>
  <si>
    <t>220L300</t>
  </si>
  <si>
    <t>320L300</t>
  </si>
  <si>
    <t>420L300</t>
  </si>
  <si>
    <t>520L300</t>
  </si>
  <si>
    <t>620L300</t>
  </si>
  <si>
    <t>820L300</t>
  </si>
  <si>
    <t>222L300</t>
  </si>
  <si>
    <t>322L300</t>
  </si>
  <si>
    <t>422L300</t>
  </si>
  <si>
    <t>522L300</t>
  </si>
  <si>
    <t>622L300</t>
  </si>
  <si>
    <t>822L300</t>
  </si>
  <si>
    <t>225L300</t>
  </si>
  <si>
    <t>325L300</t>
  </si>
  <si>
    <t>425L300</t>
  </si>
  <si>
    <t>525L300</t>
  </si>
  <si>
    <t>625L300</t>
  </si>
  <si>
    <t>825L300</t>
  </si>
  <si>
    <t>230L300</t>
  </si>
  <si>
    <t>330L300</t>
  </si>
  <si>
    <t>430L300</t>
  </si>
  <si>
    <t>830L300</t>
  </si>
  <si>
    <t>435L300</t>
  </si>
  <si>
    <t>835L300</t>
  </si>
  <si>
    <t>220L250</t>
  </si>
  <si>
    <t>320L250</t>
  </si>
  <si>
    <t>620L250</t>
  </si>
  <si>
    <t>322L250</t>
  </si>
  <si>
    <t>422L250</t>
  </si>
  <si>
    <t>622L250</t>
  </si>
  <si>
    <t>822L250</t>
  </si>
  <si>
    <t>425L250</t>
  </si>
  <si>
    <t>825L250</t>
  </si>
  <si>
    <t>Silica e silicato Brasil</t>
  </si>
  <si>
    <t>Placa de FC Brasil</t>
  </si>
  <si>
    <t>SUPETHERM - 1800 E 2000</t>
  </si>
  <si>
    <t>PYROSTOP BOARD - Spezial - Extra</t>
  </si>
  <si>
    <t>PYROSTOP CARTO - 75 - 110</t>
  </si>
  <si>
    <t>Silplate</t>
  </si>
  <si>
    <t>PYROSTOP FELT</t>
  </si>
  <si>
    <t>PYROSTOP SUPERFELT</t>
  </si>
  <si>
    <t>NOVAS DIMENSÕES</t>
  </si>
  <si>
    <t>80.000x500x0,5</t>
  </si>
  <si>
    <t>40.000x500x0,5</t>
  </si>
  <si>
    <t>20.000x500x1</t>
  </si>
  <si>
    <t>40.000x500x1</t>
  </si>
  <si>
    <t>10.000x500x2</t>
  </si>
  <si>
    <t>20.000x500x2</t>
  </si>
  <si>
    <t>10.000x500x3</t>
  </si>
  <si>
    <t>15.000x500x3</t>
  </si>
  <si>
    <t>20.000x500x3</t>
  </si>
  <si>
    <t>10.000x500x4</t>
  </si>
  <si>
    <t>10.000x500x5</t>
  </si>
  <si>
    <t>10.000x500x6</t>
  </si>
  <si>
    <t>PYROSTOP PAPIER</t>
  </si>
  <si>
    <t>THK.1mm</t>
  </si>
  <si>
    <t>THK.2mm</t>
  </si>
  <si>
    <t>THK.3mm</t>
  </si>
  <si>
    <t>THK.6mm</t>
  </si>
  <si>
    <t>THK.13mm</t>
  </si>
  <si>
    <t>THK.19mm</t>
  </si>
  <si>
    <t>THK.25mm</t>
  </si>
  <si>
    <t>PAPER AND BLANKET m²</t>
  </si>
  <si>
    <t>PAPER &amp; BLANKET</t>
  </si>
  <si>
    <t>14640x610x13</t>
  </si>
  <si>
    <t>9760x610x19</t>
  </si>
  <si>
    <t>7320x610x25</t>
  </si>
  <si>
    <t>4880x610x38</t>
  </si>
  <si>
    <t>3660x610x50</t>
  </si>
  <si>
    <t>ROLO</t>
  </si>
  <si>
    <t>PYROSTOP BLANKET</t>
  </si>
  <si>
    <t>THK.38mm</t>
  </si>
  <si>
    <t>THK.50mm</t>
  </si>
  <si>
    <t>RADIAL EUROPA</t>
  </si>
  <si>
    <t>AÇOS &amp; ELETRODOS</t>
  </si>
  <si>
    <t>AISI 304 (1.4301)</t>
  </si>
  <si>
    <t>AISI 309 (1.4828)</t>
  </si>
  <si>
    <t xml:space="preserve">AISI 310 (1.4841) </t>
  </si>
  <si>
    <t>AISI 310S (1.4845)</t>
  </si>
  <si>
    <t>SAE1020 (1.0402)</t>
  </si>
  <si>
    <t xml:space="preserve">AISI 314 (1.4841) </t>
  </si>
  <si>
    <t>SUPETHERM 1800</t>
  </si>
  <si>
    <t>SUPETHERM 2000</t>
  </si>
  <si>
    <t>PYROSTOP BLANKET 64/1260</t>
  </si>
  <si>
    <t>PYROSTOP BLANKET 96/1260</t>
  </si>
  <si>
    <t>PYROSTOP BLANKET 128/1260</t>
  </si>
  <si>
    <t>PYROSTOP BLANKET 160/1260</t>
  </si>
  <si>
    <t>PYROSTOP BLANKET 64/1430</t>
  </si>
  <si>
    <t>PYROSTOP BLANKET 96/1430</t>
  </si>
  <si>
    <t>PYROSTOP BLANKET 128/1430</t>
  </si>
  <si>
    <t>PYROSTOP BLANKET 160/1430</t>
  </si>
  <si>
    <t>PYROSTOP BLANKET SW 96/1300</t>
  </si>
  <si>
    <t>PYROSTOP BLANKET SW 128/1300</t>
  </si>
  <si>
    <t>PYROSTOP BLANKET SW 160/1300</t>
  </si>
  <si>
    <t>PYROSTOP BLANKET 80/1600</t>
  </si>
  <si>
    <t>PYROSTOP BLANKET 100/1600</t>
  </si>
  <si>
    <t>PYROSTOP BLANKET S80/1500</t>
  </si>
  <si>
    <t>PYROSTOP BOARD SPEZIAL</t>
  </si>
  <si>
    <t>PYROSTOP BOARD EXTRA</t>
  </si>
  <si>
    <t>PYROSTOP BOARD 1260</t>
  </si>
  <si>
    <t>PYROSTOP BOARD 1400</t>
  </si>
  <si>
    <t>PYROSTOP BOARD SW 1300</t>
  </si>
  <si>
    <t>PYROSTOP BOARD 1600</t>
  </si>
  <si>
    <t>PYROSTOP CARTO 75</t>
  </si>
  <si>
    <t>PYROSTOP CARTO 110</t>
  </si>
  <si>
    <t>PYROSTOP FELT 96/1320</t>
  </si>
  <si>
    <t>PYROSTOP FELT 128/1320</t>
  </si>
  <si>
    <t>PYROSTOP FELT 160/1320</t>
  </si>
  <si>
    <t>PYROSTOP FELT 192/1320</t>
  </si>
  <si>
    <t>PYROSTOP FELT 288/1320</t>
  </si>
  <si>
    <t>PYROSTOP FELT SW96/1300</t>
  </si>
  <si>
    <t>PYROSTOP FELT SW128/1300</t>
  </si>
  <si>
    <t>PYROSTOP FELT SW160/1300</t>
  </si>
  <si>
    <t>PYROSTOP FELT SW192/1300</t>
  </si>
  <si>
    <t>PYROSTOP FELT SW288/1300</t>
  </si>
  <si>
    <t>PYROSTOP SUPERFELT 1300</t>
  </si>
  <si>
    <t>PYROSTOP SUPERFELT 1400</t>
  </si>
  <si>
    <t>PYROSTOP SUPERFELT 1600</t>
  </si>
  <si>
    <t>PYROSTOP PAPIER 1260</t>
  </si>
  <si>
    <t>PYROSTOP PAPIER 1400</t>
  </si>
  <si>
    <t>PYROSTOP PAPIER 1600</t>
  </si>
  <si>
    <t>PYROSTOP PAPIER SW1300</t>
  </si>
  <si>
    <t>SILPLATE 1515</t>
  </si>
  <si>
    <t>CER. FIBER BLANKET 96/1260</t>
  </si>
  <si>
    <t>CER. FIBER BLANKET 128/1260</t>
  </si>
  <si>
    <t>CER. FIBER BLANKET 160/1260</t>
  </si>
  <si>
    <t>CER. FIBER BLANKET 192/1260</t>
  </si>
  <si>
    <t>CER. FIBER BOARD 220/1260</t>
  </si>
  <si>
    <t>CER. FIBER WOOL 96/1260</t>
  </si>
  <si>
    <t>CER. FIBER WOOL  128/1260</t>
  </si>
  <si>
    <t>CER. FIBER FELT 210/1260</t>
  </si>
  <si>
    <t>CER. FIBER PAPER 210/1260</t>
  </si>
  <si>
    <t>CER. FIBER BLANKET 128/1430</t>
  </si>
  <si>
    <t>CER. FIBER BLANKET 96/1430</t>
  </si>
  <si>
    <t>CER. FIBER BLANKET 160/1430</t>
  </si>
  <si>
    <t>CER. FIBER BLANKET 192/1430</t>
  </si>
  <si>
    <t>CER. FIBER BOARD 220/1430</t>
  </si>
  <si>
    <t>CER. FIBER WOOL 96/1430</t>
  </si>
  <si>
    <t>CER. FIBER WOOL 128/1430</t>
  </si>
  <si>
    <t>CER. FIBER FELT 210/1430</t>
  </si>
  <si>
    <t>CER. FIBER PAPER 210/1430</t>
  </si>
  <si>
    <t>A12X41/2X3-27/8</t>
  </si>
  <si>
    <t>SUPETHERM 1800IP</t>
  </si>
  <si>
    <t>SUPETHERM 2000IP</t>
  </si>
  <si>
    <t>DIKASIL SK</t>
  </si>
  <si>
    <t>2kg/m²</t>
  </si>
  <si>
    <t>MORTAR CALCULATION</t>
  </si>
  <si>
    <t>Impermeabilizante para Supetherm</t>
  </si>
  <si>
    <t>Impermeabilizante para Silica/Silicato</t>
  </si>
  <si>
    <t>CÁLCULO CONE - 2 TIJOLOS</t>
  </si>
  <si>
    <t>CÁLCULO CONE 3 TIJOLOS (PEÇA DE TOMBAMENTO)</t>
  </si>
  <si>
    <t>Europa</t>
  </si>
  <si>
    <t>Electrode 3,2x350mm</t>
  </si>
  <si>
    <t>Américas</t>
  </si>
  <si>
    <t xml:space="preserve">E309-17    </t>
  </si>
  <si>
    <t xml:space="preserve">E310-16    </t>
  </si>
  <si>
    <t>Américas aço 304</t>
  </si>
  <si>
    <t>Américas aço 310</t>
  </si>
  <si>
    <t xml:space="preserve">WOOL </t>
  </si>
  <si>
    <t>SU BRICKS</t>
  </si>
  <si>
    <t>SU345</t>
  </si>
  <si>
    <t>SU430</t>
  </si>
  <si>
    <t>SU460</t>
  </si>
  <si>
    <t>SU660</t>
  </si>
  <si>
    <t>SU645</t>
  </si>
  <si>
    <t>SU445</t>
  </si>
  <si>
    <t>SU530</t>
  </si>
  <si>
    <t>SU545</t>
  </si>
  <si>
    <t>SU560</t>
  </si>
  <si>
    <t>SU630</t>
  </si>
  <si>
    <t>SU745</t>
  </si>
  <si>
    <t>SU760</t>
  </si>
  <si>
    <t>SU945</t>
  </si>
  <si>
    <t>SU960</t>
  </si>
  <si>
    <t>SU736</t>
  </si>
  <si>
    <t>SU860</t>
  </si>
  <si>
    <t>SU636</t>
  </si>
  <si>
    <t>SU845</t>
  </si>
  <si>
    <t>SU730</t>
  </si>
  <si>
    <t>SU660-3</t>
  </si>
  <si>
    <t>SU430-3</t>
  </si>
  <si>
    <t>SU445-3</t>
  </si>
  <si>
    <t>SU460-3</t>
  </si>
  <si>
    <t>SU545-3</t>
  </si>
  <si>
    <t>SU360</t>
  </si>
  <si>
    <t>SU945-3</t>
  </si>
  <si>
    <t>SU360-3</t>
  </si>
  <si>
    <t>SU536-3</t>
  </si>
  <si>
    <t>SU245</t>
  </si>
  <si>
    <t>SU345-3</t>
  </si>
  <si>
    <t>SU560-3</t>
  </si>
  <si>
    <t>SU630-3</t>
  </si>
  <si>
    <t>SU645-3</t>
  </si>
  <si>
    <t>SU730-3</t>
  </si>
  <si>
    <t>SU745-3</t>
  </si>
  <si>
    <t>SU760-3</t>
  </si>
  <si>
    <t>SU845-3</t>
  </si>
  <si>
    <t>SU860-3</t>
  </si>
  <si>
    <t>SU960-3</t>
  </si>
  <si>
    <t>CÁLCULO CONE - 1 TIJOLO (Perímetro)</t>
  </si>
  <si>
    <t>SU536</t>
  </si>
  <si>
    <t>SU530-3</t>
  </si>
  <si>
    <t>Liquid Binder - Frost protected</t>
  </si>
  <si>
    <t>Accelerator</t>
  </si>
  <si>
    <t>Accelerator / waterproofing</t>
  </si>
  <si>
    <t>Quando usar Accelerator CC verificar se há necessidade de 500kg de lubrificante</t>
  </si>
  <si>
    <t>25/0/75</t>
  </si>
  <si>
    <t>V</t>
  </si>
  <si>
    <t>K63/4X3X152-145</t>
  </si>
  <si>
    <t>K63/4X3X41/2-4</t>
  </si>
  <si>
    <t>K63/4X3X4,5-3,5</t>
  </si>
  <si>
    <t>K9X3X41/2-47/16</t>
  </si>
  <si>
    <t>K9X3X41/2-45/16</t>
  </si>
  <si>
    <t>K9X3X41/2-41/4</t>
  </si>
  <si>
    <t>K9X3X41/2-4</t>
  </si>
  <si>
    <t>K9X3X41/2-33/4</t>
  </si>
  <si>
    <t>K9X3X41/2-31/2</t>
  </si>
  <si>
    <t>K9X3X41/2-3</t>
  </si>
  <si>
    <t>K9X3X41/2-21/2</t>
  </si>
  <si>
    <t>K9X3X41/2-21/4</t>
  </si>
  <si>
    <t>K9X3X6-55/8</t>
  </si>
  <si>
    <t>K9X3X6-51/2</t>
  </si>
  <si>
    <t>K9X3X6-5,39</t>
  </si>
  <si>
    <t>K9X3X6-53/8</t>
  </si>
  <si>
    <t>K9X3X6-51/4</t>
  </si>
  <si>
    <t>K9X3X6-5</t>
  </si>
  <si>
    <t>K9X3X6-413/16</t>
  </si>
  <si>
    <t>K9X3X6-41/2</t>
  </si>
  <si>
    <t>K9X3X6-4</t>
  </si>
  <si>
    <t>K9X3X6-33/4</t>
  </si>
  <si>
    <t>K9X3X6-3</t>
  </si>
  <si>
    <t>K9X4X6-53/8</t>
  </si>
  <si>
    <t>K9X4X6-413/16</t>
  </si>
  <si>
    <t>K9X4X6-3</t>
  </si>
  <si>
    <t>K9X4X41/2-4</t>
  </si>
  <si>
    <t>K12X3X6-57/8</t>
  </si>
  <si>
    <t>K12X3X6-51/2</t>
  </si>
  <si>
    <t>K12X3X6-51/4</t>
  </si>
  <si>
    <t>K12X3X6-51/8</t>
  </si>
  <si>
    <t>K12X3X6-5</t>
  </si>
  <si>
    <t>K12X3X6-41/2</t>
  </si>
  <si>
    <t>K12X3X6-41/8</t>
  </si>
  <si>
    <t>K12X3X6-4</t>
  </si>
  <si>
    <t>K12X3X6-3</t>
  </si>
  <si>
    <t>K131/2X3X6-53/4</t>
  </si>
  <si>
    <t>K131/2X3X6-51/2</t>
  </si>
  <si>
    <t>K131/2X3X6-53/8</t>
  </si>
  <si>
    <t>K131/2X3X6-51/4</t>
  </si>
  <si>
    <t>K131/2X3X6-5,19</t>
  </si>
  <si>
    <t>K131/2X3X6-51/8</t>
  </si>
  <si>
    <t>K131/2X3X6-5</t>
  </si>
  <si>
    <t>K131/2X3X6-41/2</t>
  </si>
  <si>
    <t>K131/2X3X6-43/8</t>
  </si>
  <si>
    <t>K131/2X3X6-4</t>
  </si>
  <si>
    <t>K131/2X3X6-33/4</t>
  </si>
  <si>
    <t>K131/2X3X6-31/2</t>
  </si>
  <si>
    <t>K131/2X3X6-3</t>
  </si>
  <si>
    <t>K131/2X4X6-5</t>
  </si>
  <si>
    <t>K15X3X6-53/4</t>
  </si>
  <si>
    <t>K15X3X6-51/2</t>
  </si>
  <si>
    <t>K15X3X6-53/8</t>
  </si>
  <si>
    <t>K15X3X6-51/4</t>
  </si>
  <si>
    <t>K15X3X6-5</t>
  </si>
  <si>
    <t>K15X3X6-413/16</t>
  </si>
  <si>
    <t>K15X3X6-425/32</t>
  </si>
  <si>
    <t>K15X3X6-41/2</t>
  </si>
  <si>
    <t>K15X3X6-43/8</t>
  </si>
  <si>
    <t>K15X3X6-4</t>
  </si>
  <si>
    <t>K15X3X6-31/2</t>
  </si>
  <si>
    <t>K15X3X6-3</t>
  </si>
  <si>
    <t>K18X3X6-53/4</t>
  </si>
  <si>
    <t>K18X3X6-55/8</t>
  </si>
  <si>
    <t>K18X3X6-51/2</t>
  </si>
  <si>
    <t>K18X3X6-53/8</t>
  </si>
  <si>
    <t>K18X3X6-51/4</t>
  </si>
  <si>
    <t>K18X3X6-53/16</t>
  </si>
  <si>
    <t>K18X3X6-51/8</t>
  </si>
  <si>
    <t>K18X3X6-5</t>
  </si>
  <si>
    <t>K18X3X6-413/16</t>
  </si>
  <si>
    <t>K18X3X6-44/5</t>
  </si>
  <si>
    <t>K18X3X6-41/2</t>
  </si>
  <si>
    <t>K18X3X6-4</t>
  </si>
  <si>
    <t>K18X3X6-31/2</t>
  </si>
  <si>
    <t>K18X3X6-33/8</t>
  </si>
  <si>
    <t>K18X3X6-3</t>
  </si>
  <si>
    <t>K21X3X6-51/2</t>
  </si>
  <si>
    <t>K21X3X6-51/16</t>
  </si>
  <si>
    <t>K21X3X6-5</t>
  </si>
  <si>
    <t>K21X3X6-413/16</t>
  </si>
  <si>
    <t>K21X3X6-41/2</t>
  </si>
  <si>
    <t>K21X3X6-4</t>
  </si>
  <si>
    <t>K21X3X6-31/2</t>
  </si>
  <si>
    <t>K21X3X6-3</t>
  </si>
  <si>
    <t>K21X3X6-2</t>
  </si>
  <si>
    <t>K24X3X6-51/2</t>
  </si>
  <si>
    <t>K24X3X6-5</t>
  </si>
  <si>
    <t>K24X3X6-413/16</t>
  </si>
  <si>
    <t>K24X3X6-41/2</t>
  </si>
  <si>
    <t>K24X3X6-4</t>
  </si>
  <si>
    <t>K24X3X6-31/2</t>
  </si>
  <si>
    <t>K24X3X6-3</t>
  </si>
  <si>
    <t>K27X3X6-51/2</t>
  </si>
  <si>
    <t>K27X3X6-5</t>
  </si>
  <si>
    <t>K27X3X6-47/8</t>
  </si>
  <si>
    <t>K27X3X6-413/16</t>
  </si>
  <si>
    <t>K27X3X6-41/2</t>
  </si>
  <si>
    <t>K27X3X6-4</t>
  </si>
  <si>
    <t>K27X3X6-31/2</t>
  </si>
  <si>
    <t>K30X3X6-51/2</t>
  </si>
  <si>
    <t>K30X3X6-5</t>
  </si>
  <si>
    <t>K30X3X6-413/16</t>
  </si>
  <si>
    <t>K30X3X6-43/4</t>
  </si>
  <si>
    <t>K30X3X6-41/2</t>
  </si>
  <si>
    <t>K30X3X6-4</t>
  </si>
  <si>
    <t>H</t>
  </si>
  <si>
    <t>K9X6-51/2X100</t>
  </si>
  <si>
    <t>RE</t>
  </si>
  <si>
    <t>K9X6-41/2X100</t>
  </si>
  <si>
    <t>K9X6-3X100</t>
  </si>
  <si>
    <t>K12X6-51/2X100</t>
  </si>
  <si>
    <t>K12X6-5X100</t>
  </si>
  <si>
    <t>K12X6-41/2X100</t>
  </si>
  <si>
    <t>K12X6-3X100</t>
  </si>
  <si>
    <t>K131/2X6-5X100</t>
  </si>
  <si>
    <t>K131/2X6-4X100</t>
  </si>
  <si>
    <t>K131/2X6-3X100</t>
  </si>
  <si>
    <t>K15X6-51/2X100</t>
  </si>
  <si>
    <t>K15X6-5X100</t>
  </si>
  <si>
    <t>K15X6-4X100</t>
  </si>
  <si>
    <t>K15X6-3X100</t>
  </si>
  <si>
    <t>K18X6-51/2X100</t>
  </si>
  <si>
    <t>K18X6-5X100</t>
  </si>
  <si>
    <t>K18X6-4X100</t>
  </si>
  <si>
    <t>K18X6-33/8X100</t>
  </si>
  <si>
    <t>K21X6-5X100</t>
  </si>
  <si>
    <t>K21X6-4X100</t>
  </si>
  <si>
    <t>K21X6-3X100</t>
  </si>
  <si>
    <t>K24X6-5X100</t>
  </si>
  <si>
    <t>K24X6-4X100</t>
  </si>
  <si>
    <t>K24X6-3X100</t>
  </si>
  <si>
    <t>K27X6-5X100</t>
  </si>
  <si>
    <t>K27X6-4X100</t>
  </si>
  <si>
    <t>K27X6-3X100</t>
  </si>
  <si>
    <t>K27X6-2X100</t>
  </si>
  <si>
    <t>D252X4,5A30</t>
  </si>
  <si>
    <t>D252X4,5-4A30</t>
  </si>
  <si>
    <t>D252X4,5-3A30</t>
  </si>
  <si>
    <t>D302X4,5-4A30</t>
  </si>
  <si>
    <t>D302X4,5-3A30</t>
  </si>
  <si>
    <t>D352X6-5,5A30</t>
  </si>
  <si>
    <t>D352X6-4,5A30</t>
  </si>
  <si>
    <t>D352X6-3A30</t>
  </si>
  <si>
    <t>DCY15/1/3,5A30</t>
  </si>
  <si>
    <t>DCY15/0/4,5A30</t>
  </si>
  <si>
    <t>DCY15/0,5/4A30</t>
  </si>
  <si>
    <t>1K</t>
  </si>
  <si>
    <t>1K-76</t>
  </si>
  <si>
    <t>2K</t>
  </si>
  <si>
    <t>2K-76</t>
  </si>
  <si>
    <t>3K</t>
  </si>
  <si>
    <t>3K-76</t>
  </si>
  <si>
    <t>1D</t>
  </si>
  <si>
    <t>2D-76</t>
  </si>
  <si>
    <t xml:space="preserve"> 3-32</t>
  </si>
  <si>
    <t>3B</t>
  </si>
  <si>
    <t>3D</t>
  </si>
  <si>
    <t>3L</t>
  </si>
  <si>
    <t>3L-76</t>
  </si>
  <si>
    <t>P6</t>
  </si>
  <si>
    <t>1G4-76</t>
  </si>
  <si>
    <t>1G10-76</t>
  </si>
  <si>
    <t>1G16-76</t>
  </si>
  <si>
    <t>1G24-76</t>
  </si>
  <si>
    <t>1G50-76</t>
  </si>
  <si>
    <t>1GG4-76</t>
  </si>
  <si>
    <t>1GG10-76</t>
  </si>
  <si>
    <t>1GG16-76</t>
  </si>
  <si>
    <t>1GG24-76</t>
  </si>
  <si>
    <t>1GG50</t>
  </si>
  <si>
    <t>1GG50-76</t>
  </si>
  <si>
    <t>2G4-76</t>
  </si>
  <si>
    <t>2G10-76</t>
  </si>
  <si>
    <t>2G16-76</t>
  </si>
  <si>
    <t>2G24-76</t>
  </si>
  <si>
    <t>2G50-76</t>
  </si>
  <si>
    <t>2GG4-76</t>
  </si>
  <si>
    <t>2GG10-76</t>
  </si>
  <si>
    <t>2GG16-76</t>
  </si>
  <si>
    <t>2GG24-76</t>
  </si>
  <si>
    <t>2GG50-76</t>
  </si>
  <si>
    <t>1H6-76</t>
  </si>
  <si>
    <t>1H10-76</t>
  </si>
  <si>
    <t>1H16-76</t>
  </si>
  <si>
    <t>1H24-76</t>
  </si>
  <si>
    <t>1H50-76</t>
  </si>
  <si>
    <t>1HL6-76</t>
  </si>
  <si>
    <t>1HL10</t>
  </si>
  <si>
    <t>1HL10-76</t>
  </si>
  <si>
    <t>1HL16</t>
  </si>
  <si>
    <t>1HL16-76</t>
  </si>
  <si>
    <t>1HL24</t>
  </si>
  <si>
    <t>1HL24-76</t>
  </si>
  <si>
    <t>1HL50</t>
  </si>
  <si>
    <t>1HL50-76</t>
  </si>
  <si>
    <t>2H6-76</t>
  </si>
  <si>
    <t>2H10-76</t>
  </si>
  <si>
    <t>2H16-76</t>
  </si>
  <si>
    <t>2H24-76</t>
  </si>
  <si>
    <t>2H50-76</t>
  </si>
  <si>
    <t>2HL6-76</t>
  </si>
  <si>
    <t>2HL10-76</t>
  </si>
  <si>
    <t>2HL16-76</t>
  </si>
  <si>
    <t>2HL24-76</t>
  </si>
  <si>
    <t>2HL50</t>
  </si>
  <si>
    <t>2HL50-76</t>
  </si>
  <si>
    <t>3HK6</t>
  </si>
  <si>
    <t>3HK6-76</t>
  </si>
  <si>
    <t>3HK10</t>
  </si>
  <si>
    <t>3HK10-76</t>
  </si>
  <si>
    <t>3HK16</t>
  </si>
  <si>
    <t>3HK16-76</t>
  </si>
  <si>
    <t>3HK24</t>
  </si>
  <si>
    <t>3HK24-76</t>
  </si>
  <si>
    <t>3HK50</t>
  </si>
  <si>
    <t>3HK50-76</t>
  </si>
  <si>
    <t>3H6-76</t>
  </si>
  <si>
    <t>3H10-76</t>
  </si>
  <si>
    <t>3H16-76</t>
  </si>
  <si>
    <t>3H24-76</t>
  </si>
  <si>
    <t>3H50-76</t>
  </si>
  <si>
    <t>1Q10</t>
  </si>
  <si>
    <t>1Q14</t>
  </si>
  <si>
    <t>1Q28</t>
  </si>
  <si>
    <t>1Q50</t>
  </si>
  <si>
    <t>1Q50-76</t>
  </si>
  <si>
    <t>1QB</t>
  </si>
  <si>
    <t>1QB-76</t>
  </si>
  <si>
    <t>2Q10</t>
  </si>
  <si>
    <t>2QB</t>
  </si>
  <si>
    <t>E08-76</t>
  </si>
  <si>
    <t>E15-76</t>
  </si>
  <si>
    <t>E30-76</t>
  </si>
  <si>
    <t>P101</t>
  </si>
  <si>
    <t>P102</t>
  </si>
  <si>
    <t>P121</t>
  </si>
  <si>
    <t>P122</t>
  </si>
  <si>
    <t>P161</t>
  </si>
  <si>
    <t>P162</t>
  </si>
  <si>
    <t>P181</t>
  </si>
  <si>
    <t>P182</t>
  </si>
  <si>
    <t>P201</t>
  </si>
  <si>
    <t>P202</t>
  </si>
  <si>
    <t>P221</t>
  </si>
  <si>
    <t>P222</t>
  </si>
  <si>
    <t>P231</t>
  </si>
  <si>
    <t>P232</t>
  </si>
  <si>
    <t>P251</t>
  </si>
  <si>
    <t>P252</t>
  </si>
  <si>
    <t>P301</t>
  </si>
  <si>
    <t>P302</t>
  </si>
  <si>
    <t>P351</t>
  </si>
  <si>
    <t>P352</t>
  </si>
  <si>
    <t>ANGLE</t>
  </si>
  <si>
    <t>(B) Length</t>
  </si>
  <si>
    <t>(A) Length</t>
  </si>
  <si>
    <t>RCA</t>
  </si>
  <si>
    <t>Valor Classificação</t>
  </si>
  <si>
    <t>Tijolo Denso</t>
  </si>
  <si>
    <t>Tijolo Isolante</t>
  </si>
  <si>
    <t>Placa Isolante</t>
  </si>
  <si>
    <t>Material Expansivo</t>
  </si>
  <si>
    <t>Argamassa</t>
  </si>
  <si>
    <t>Concreto Denso</t>
  </si>
  <si>
    <t>Concreto Isolante</t>
  </si>
  <si>
    <t>Aditivos</t>
  </si>
  <si>
    <t>Auxiliares</t>
  </si>
  <si>
    <t>TIJOLOS DENSOS</t>
  </si>
  <si>
    <t>TIJOLOS ISOLANTES</t>
  </si>
  <si>
    <t>CONCRETO/MASSA DENSO</t>
  </si>
  <si>
    <t>CONCRETO ISOLANTE</t>
  </si>
  <si>
    <t>D252X4,5-2,5A30</t>
  </si>
  <si>
    <t>D302X4,5-2A30</t>
  </si>
  <si>
    <t>S</t>
  </si>
  <si>
    <t>W</t>
  </si>
  <si>
    <t>K</t>
  </si>
  <si>
    <t>SU</t>
  </si>
  <si>
    <t>LK425-100</t>
  </si>
  <si>
    <t>LK450-100</t>
  </si>
  <si>
    <t>LK475-100</t>
  </si>
  <si>
    <t>LK525-100</t>
  </si>
  <si>
    <t>LK550-100</t>
  </si>
  <si>
    <t>LK575-100</t>
  </si>
  <si>
    <t>LK625-100</t>
  </si>
  <si>
    <t>LK650-100</t>
  </si>
  <si>
    <t>LK675-100</t>
  </si>
  <si>
    <t>LK825-100</t>
  </si>
  <si>
    <t>LK850-100</t>
  </si>
  <si>
    <t>LK875-100</t>
  </si>
  <si>
    <r>
      <t xml:space="preserve">2 - ENTRAR COM OS DADOS NAS TABELAS DE ( ARCOS ) E ( CUNHAS) - </t>
    </r>
    <r>
      <rPr>
        <sz val="9"/>
        <color rgb="FFFF0000"/>
        <rFont val="Arial"/>
        <family val="2"/>
      </rPr>
      <t>ADD DO MENOS CÔNICO PARA O MAIS CÔNICO</t>
    </r>
  </si>
  <si>
    <t>3 - ENTRAR COM O ÂNGULO ( AF )DE INCLINAÇÃO DE CONE</t>
  </si>
  <si>
    <t>4 - ENTRAR COM O DIÂMETRO EXTERNO SUPERIOR ( DES ) NO ( ANEL 1 ) DA LISTAGEM DE ANÉIS</t>
  </si>
  <si>
    <t>5 - ESCOLHER A QUANTIDADE DE CUNHAS ENTRE AS DISPONÍVEIS, PRÓXIMAS AO ( NC IDEAL);</t>
  </si>
  <si>
    <t>6 - ENTRAR COM A ESPESSURA DE JUNTA DE ARGAMASSA;</t>
  </si>
  <si>
    <t>7 - ESCOLHER  ARCOS DO MAIOR FECHAMENTO PARA O MENOR, OBTENDO SEMPRE RESULTADOS &gt; 0;</t>
  </si>
  <si>
    <t>1 - NA TABELA "TIJOLOS COMPOSIÇÃO" INICIAR PREENCHIMENTO COM FORMATO PARALELO</t>
  </si>
  <si>
    <t>Checagem Perímetro</t>
  </si>
  <si>
    <t>Horizontal</t>
  </si>
  <si>
    <t>Ang.</t>
  </si>
  <si>
    <t>Ang</t>
  </si>
  <si>
    <t>NX (Ref)</t>
  </si>
  <si>
    <t>NY (Ref)</t>
  </si>
  <si>
    <t>Esp. Rev</t>
  </si>
  <si>
    <t>5500x610x6</t>
  </si>
  <si>
    <t>Alt. da Manta</t>
  </si>
  <si>
    <t>Perímetro</t>
  </si>
  <si>
    <t>Item (Reference)</t>
  </si>
  <si>
    <t>Brand Type</t>
  </si>
  <si>
    <t>Shape</t>
  </si>
  <si>
    <t>Qnt 1</t>
  </si>
  <si>
    <t>Qnt 2</t>
  </si>
  <si>
    <t>Qnt 1 (Reference)</t>
  </si>
  <si>
    <t>Qnt 2 (Reference)</t>
  </si>
  <si>
    <t>Brand (Reference)</t>
  </si>
  <si>
    <t>Add-On</t>
  </si>
  <si>
    <t>Delay1</t>
  </si>
  <si>
    <t>Delay2</t>
  </si>
  <si>
    <t>Reference1</t>
  </si>
  <si>
    <t>Reference2</t>
  </si>
  <si>
    <t>Reference3</t>
  </si>
  <si>
    <t>Reference4</t>
  </si>
  <si>
    <t>Código</t>
  </si>
  <si>
    <t>1</t>
  </si>
  <si>
    <t>AutoHotkey.ahk</t>
  </si>
  <si>
    <t>Manual Items</t>
  </si>
  <si>
    <t>#NoEnv  ; Recommended for performance and compatibility with future AutoHotkey releases.</t>
  </si>
  <si>
    <t>Theoretical quantity</t>
  </si>
  <si>
    <t>Order quantity</t>
  </si>
  <si>
    <t>; #Warn  ; Enable warnings to assist with detecting common errors.</t>
  </si>
  <si>
    <t>SendMode Input  ; Recommended for new scripts due to its superior speed and reliability.</t>
  </si>
  <si>
    <t>SetWorkingDir %A_ScriptDir%  ; Ensures a consistent starting directory.</t>
  </si>
  <si>
    <t>^e::</t>
  </si>
  <si>
    <t>Send, 10</t>
  </si>
  <si>
    <t>First Item to Run</t>
  </si>
  <si>
    <t>Send, ^{Right}</t>
  </si>
  <si>
    <t>Network</t>
  </si>
  <si>
    <t>Office</t>
  </si>
  <si>
    <t>Send, {Enter}</t>
  </si>
  <si>
    <t>Sleep, 2000</t>
  </si>
  <si>
    <t>Send, ^{Left}</t>
  </si>
  <si>
    <t>Send, 20</t>
  </si>
  <si>
    <t>Send, MAT_KONFIG</t>
  </si>
  <si>
    <t>Sleep, 2500</t>
  </si>
  <si>
    <t>Send, {Down}</t>
  </si>
  <si>
    <t>Send, {Tab}</t>
  </si>
  <si>
    <t>Send, 210</t>
  </si>
  <si>
    <t>Send, {F3}</t>
  </si>
  <si>
    <t>Send, 40</t>
  </si>
  <si>
    <t>Send, 50</t>
  </si>
  <si>
    <t>Send, 60</t>
  </si>
  <si>
    <t>Send, 70</t>
  </si>
  <si>
    <t>Send, 90</t>
  </si>
  <si>
    <t>Send, 100</t>
  </si>
  <si>
    <t>Send, 110</t>
  </si>
  <si>
    <t>Send, 130</t>
  </si>
  <si>
    <t>Send, 140</t>
  </si>
  <si>
    <t>Send, 150</t>
  </si>
  <si>
    <t>Send, U</t>
  </si>
  <si>
    <t>Send, 160</t>
  </si>
  <si>
    <t>Send, 220</t>
  </si>
  <si>
    <t>Send, 22</t>
  </si>
  <si>
    <t>MsgBox Rotina finalizada! Por favor revise o preencimento dos dados!</t>
  </si>
  <si>
    <t>^r::Reload</t>
  </si>
  <si>
    <t>^p::Pause</t>
  </si>
  <si>
    <t>Esc::ExitApp</t>
  </si>
  <si>
    <t>Send, 1</t>
  </si>
  <si>
    <t>Send, 0,5</t>
  </si>
  <si>
    <t>Send, 0,55</t>
  </si>
  <si>
    <t>Send, 80</t>
  </si>
  <si>
    <t>Send, 25</t>
  </si>
  <si>
    <t>Send, 28</t>
  </si>
  <si>
    <t>Send, 120</t>
  </si>
  <si>
    <t>Send, 254</t>
  </si>
  <si>
    <t>Send, 170</t>
  </si>
  <si>
    <t>Send, 180</t>
  </si>
  <si>
    <t>Send, 190</t>
  </si>
  <si>
    <t>Send, 200</t>
  </si>
  <si>
    <t>Send, 30</t>
  </si>
  <si>
    <t>Send, 230</t>
  </si>
  <si>
    <t>R1</t>
  </si>
  <si>
    <t>Paralelo</t>
  </si>
  <si>
    <t>Arco</t>
  </si>
  <si>
    <t>Cunha</t>
  </si>
  <si>
    <t>R2</t>
  </si>
  <si>
    <t>R3</t>
  </si>
  <si>
    <t>Esp</t>
  </si>
  <si>
    <t>Formato</t>
  </si>
  <si>
    <t>Fiada</t>
  </si>
  <si>
    <t>Inclinação (°)</t>
  </si>
  <si>
    <t>150 - STEEL LADLE</t>
  </si>
  <si>
    <t>BOTTOM SAFETY</t>
  </si>
  <si>
    <t>RADEX E12</t>
  </si>
  <si>
    <t>JEBCO RAM D1-EU</t>
  </si>
  <si>
    <t>WALL SAFETY</t>
  </si>
  <si>
    <t>BOTTOM WORKING</t>
  </si>
  <si>
    <t>SINDOFORM K66-US</t>
  </si>
  <si>
    <t>WALL WORKING</t>
  </si>
  <si>
    <t>SINDOFORM K60-US</t>
  </si>
  <si>
    <t>K30X6-3X100</t>
  </si>
  <si>
    <t>SINDOFORM HF65Z-T2-EU</t>
  </si>
  <si>
    <t>85/80/75</t>
  </si>
  <si>
    <t>K30X6-5X100</t>
  </si>
  <si>
    <t>SINDOFORM HF65-T1-EU</t>
  </si>
  <si>
    <t>100/20AVE1</t>
  </si>
  <si>
    <t>SINDOFORM K40-US</t>
  </si>
  <si>
    <t>JEBCO SLAB D1-US</t>
  </si>
  <si>
    <t>YORK</t>
  </si>
  <si>
    <t>K30X6-4X100</t>
  </si>
  <si>
    <t>Send, BOTTOM SAFETY</t>
  </si>
  <si>
    <t>Send, WALL SAFETY</t>
  </si>
  <si>
    <t>Send, BOTTOM WORKING</t>
  </si>
  <si>
    <t>Send, WALL WORKING</t>
  </si>
  <si>
    <t>Send, RADEX E12</t>
  </si>
  <si>
    <t>Send, 312</t>
  </si>
  <si>
    <t>Send, 325</t>
  </si>
  <si>
    <t>Send, JEBCO RAM D1-EU</t>
  </si>
  <si>
    <t>Send, 1,3</t>
  </si>
  <si>
    <t>Send, 1,4</t>
  </si>
  <si>
    <t>Send, 1-76</t>
  </si>
  <si>
    <t>Send, 2262</t>
  </si>
  <si>
    <t>Send, 2308</t>
  </si>
  <si>
    <t>Send, 1H10-76</t>
  </si>
  <si>
    <t>Send, 1491</t>
  </si>
  <si>
    <t>Send, 1521</t>
  </si>
  <si>
    <t>Send, 1,95</t>
  </si>
  <si>
    <t>Send, 2,1</t>
  </si>
  <si>
    <t>Send, K15X6-51/2X100</t>
  </si>
  <si>
    <t>Send, SINDOFORM K66-US</t>
  </si>
  <si>
    <t>Send, 129</t>
  </si>
  <si>
    <t>Send, 138</t>
  </si>
  <si>
    <t>Send, S15X6X100</t>
  </si>
  <si>
    <t>Send, 449</t>
  </si>
  <si>
    <t>Send, 467</t>
  </si>
  <si>
    <t>Send, 100/120</t>
  </si>
  <si>
    <t>Send, SINDOFORM HF65-T1-EU</t>
  </si>
  <si>
    <t>Send, 47</t>
  </si>
  <si>
    <t>Send, 52</t>
  </si>
  <si>
    <t>Send, 100/20AVE1</t>
  </si>
  <si>
    <t>Send, 6</t>
  </si>
  <si>
    <t>Send, 7</t>
  </si>
  <si>
    <t>Send, 100/80</t>
  </si>
  <si>
    <t>Send, 31</t>
  </si>
  <si>
    <t>Send, 80/60</t>
  </si>
  <si>
    <t>Send, SINDOFORM HF65Z-T2-EU</t>
  </si>
  <si>
    <t>Send, 80/80</t>
  </si>
  <si>
    <t>Send, 41</t>
  </si>
  <si>
    <t>Send, 46</t>
  </si>
  <si>
    <t>Send, 85/60</t>
  </si>
  <si>
    <t>Send, 21</t>
  </si>
  <si>
    <t>Send, 24</t>
  </si>
  <si>
    <t>Send, 85/80/75</t>
  </si>
  <si>
    <t>Send, 44</t>
  </si>
  <si>
    <t>Send, 49</t>
  </si>
  <si>
    <t>Send, 90/80</t>
  </si>
  <si>
    <t>Send, 39</t>
  </si>
  <si>
    <t>Send, 43</t>
  </si>
  <si>
    <t>Send, D252X4,5-3A30</t>
  </si>
  <si>
    <t>Send, SINDOFORM K40-US</t>
  </si>
  <si>
    <t>Send, 82</t>
  </si>
  <si>
    <t>Send, 88</t>
  </si>
  <si>
    <t>Send, D252X4,5-4A30</t>
  </si>
  <si>
    <t>Send, 1203</t>
  </si>
  <si>
    <t>Send, 1228</t>
  </si>
  <si>
    <t>Send, D252X4,5A30</t>
  </si>
  <si>
    <t>Send, 48</t>
  </si>
  <si>
    <t>Send, K12X6-51/2X100</t>
  </si>
  <si>
    <t>Send, 280</t>
  </si>
  <si>
    <t>Send, 294</t>
  </si>
  <si>
    <t>Send, 240</t>
  </si>
  <si>
    <t>Send, K12X6-5X100</t>
  </si>
  <si>
    <t>Send, 734</t>
  </si>
  <si>
    <t>Send, 756</t>
  </si>
  <si>
    <t>Send, 250</t>
  </si>
  <si>
    <t>Send, K15X6-4X100</t>
  </si>
  <si>
    <t>Send, 26</t>
  </si>
  <si>
    <t>Send, 29</t>
  </si>
  <si>
    <t>Send, 260</t>
  </si>
  <si>
    <t>Send, K15X6-5X100</t>
  </si>
  <si>
    <t>Send, 296</t>
  </si>
  <si>
    <t>Send, 311</t>
  </si>
  <si>
    <t>Send, 270</t>
  </si>
  <si>
    <t>Send, K18X6-4X100</t>
  </si>
  <si>
    <t>Send, 122</t>
  </si>
  <si>
    <t>Send, 131</t>
  </si>
  <si>
    <t>Send, K18X6-5X100</t>
  </si>
  <si>
    <t>Send, 276</t>
  </si>
  <si>
    <t>Send, 290</t>
  </si>
  <si>
    <t>Send, K21X6-4X100</t>
  </si>
  <si>
    <t>Send, SINDOFORM K60-US</t>
  </si>
  <si>
    <t>Send, 572</t>
  </si>
  <si>
    <t>Send, 590</t>
  </si>
  <si>
    <t>Send, 300</t>
  </si>
  <si>
    <t>Send, K21X6-5X100</t>
  </si>
  <si>
    <t>Send, 498</t>
  </si>
  <si>
    <t>Send, 518</t>
  </si>
  <si>
    <t>Send, 310</t>
  </si>
  <si>
    <t>Send, K24X6-4X100</t>
  </si>
  <si>
    <t>Send, 132</t>
  </si>
  <si>
    <t>Send, 142</t>
  </si>
  <si>
    <t>Send, 320</t>
  </si>
  <si>
    <t>Send, K24X6-5X100</t>
  </si>
  <si>
    <t>Send, 330</t>
  </si>
  <si>
    <t>Send, K27X6-3X100</t>
  </si>
  <si>
    <t>Send, 267</t>
  </si>
  <si>
    <t>Send, 340</t>
  </si>
  <si>
    <t>Send, K27X6-5X100</t>
  </si>
  <si>
    <t>Send, 350</t>
  </si>
  <si>
    <t>Send, K30X6-3X100</t>
  </si>
  <si>
    <t>Send, 182</t>
  </si>
  <si>
    <t>Send, 192</t>
  </si>
  <si>
    <t>Send, 360</t>
  </si>
  <si>
    <t>Send, K30X6-5X100</t>
  </si>
  <si>
    <t>Send, 370</t>
  </si>
  <si>
    <t>Send, JEBCO SLAB D1-US</t>
  </si>
  <si>
    <t>REGIÃO DO EQUIPAMENTO</t>
  </si>
  <si>
    <t>SL464</t>
  </si>
  <si>
    <t>CUNHAS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</si>
</sst>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0.0"/>
    <numFmt numFmtId="165" formatCode="0.000"/>
    <numFmt numFmtId="166" formatCode="dd/mm/yy;@"/>
    <numFmt numFmtId="167" formatCode="&quot;FIADA&quot;\ 000"/>
    <numFmt numFmtId="168" formatCode="#,##0.000"/>
    <numFmt numFmtId="169" formatCode="0000\-00\-00"/>
    <numFmt numFmtId="170" formatCode="#,##0.0"/>
  </numFmts>
  <fonts count="85">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8"/>
      <name val="Arial"/>
      <family val="2"/>
    </font>
    <font>
      <b/>
      <sz val="10"/>
      <name val="Arial"/>
      <family val="2"/>
    </font>
    <font>
      <sz val="10"/>
      <name val="Arial"/>
      <family val="2"/>
    </font>
    <font>
      <sz val="10"/>
      <name val="MS Sans Serif"/>
      <family val="2"/>
    </font>
    <font>
      <b/>
      <sz val="8"/>
      <color indexed="81"/>
      <name val="Tahoma"/>
      <family val="2"/>
    </font>
    <font>
      <b/>
      <sz val="11"/>
      <name val="Arial"/>
      <family val="2"/>
    </font>
    <font>
      <sz val="11"/>
      <name val="Arial"/>
      <family val="2"/>
    </font>
    <font>
      <b/>
      <sz val="12"/>
      <name val="Arial"/>
      <family val="2"/>
    </font>
    <font>
      <sz val="12"/>
      <name val="Arial"/>
      <family val="2"/>
    </font>
    <font>
      <sz val="10"/>
      <name val="CALIBRIs Serif"/>
    </font>
    <font>
      <b/>
      <sz val="7"/>
      <name val="CALIBRIs Serif"/>
    </font>
    <font>
      <b/>
      <sz val="10"/>
      <name val="CALIBRIs Serif"/>
    </font>
    <font>
      <b/>
      <sz val="12"/>
      <color indexed="10"/>
      <name val="CALIBRIs Serif"/>
    </font>
    <font>
      <b/>
      <sz val="14"/>
      <name val="CALIBRIs Serif"/>
    </font>
    <font>
      <b/>
      <sz val="10"/>
      <name val="Calibri"/>
      <family val="2"/>
    </font>
    <font>
      <sz val="10"/>
      <name val="Calibri"/>
      <family val="2"/>
    </font>
    <font>
      <b/>
      <sz val="10"/>
      <color indexed="22"/>
      <name val="Calibri"/>
      <family val="2"/>
    </font>
    <font>
      <sz val="11"/>
      <color indexed="8"/>
      <name val="Calibri"/>
      <family val="2"/>
    </font>
    <font>
      <sz val="10"/>
      <name val="Calibri"/>
      <family val="2"/>
    </font>
    <font>
      <sz val="10"/>
      <color indexed="22"/>
      <name val="Calibri"/>
      <family val="2"/>
    </font>
    <font>
      <b/>
      <sz val="10"/>
      <name val="Calibri"/>
      <family val="2"/>
    </font>
    <font>
      <sz val="10"/>
      <color indexed="23"/>
      <name val="Calibri"/>
      <family val="2"/>
    </font>
    <font>
      <sz val="8"/>
      <color indexed="23"/>
      <name val="Calibri"/>
      <family val="2"/>
    </font>
    <font>
      <sz val="10"/>
      <color indexed="55"/>
      <name val="Calibri"/>
      <family val="2"/>
    </font>
    <font>
      <sz val="10"/>
      <color indexed="55"/>
      <name val="Arial"/>
      <family val="2"/>
    </font>
    <font>
      <b/>
      <sz val="10"/>
      <color indexed="55"/>
      <name val="Arial"/>
      <family val="2"/>
    </font>
    <font>
      <b/>
      <sz val="20"/>
      <color indexed="10"/>
      <name val="Calibri"/>
      <family val="2"/>
    </font>
    <font>
      <b/>
      <sz val="12"/>
      <name val="Arial"/>
      <family val="2"/>
    </font>
    <font>
      <sz val="30"/>
      <color indexed="55"/>
      <name val="Arial"/>
      <family val="2"/>
    </font>
    <font>
      <sz val="9"/>
      <color indexed="81"/>
      <name val="Tahoma"/>
      <family val="2"/>
    </font>
    <font>
      <sz val="13"/>
      <color indexed="55"/>
      <name val="Arial"/>
      <family val="2"/>
    </font>
    <font>
      <sz val="20"/>
      <color indexed="55"/>
      <name val="Arial"/>
      <family val="2"/>
    </font>
    <font>
      <sz val="22"/>
      <color indexed="55"/>
      <name val="Arial"/>
      <family val="2"/>
    </font>
    <font>
      <sz val="30"/>
      <name val="Arial"/>
      <family val="2"/>
    </font>
    <font>
      <b/>
      <sz val="16"/>
      <name val="CALIBRIs Serif"/>
    </font>
    <font>
      <sz val="12"/>
      <color indexed="8"/>
      <name val="Arial"/>
      <family val="2"/>
    </font>
    <font>
      <b/>
      <sz val="14"/>
      <color indexed="57"/>
      <name val="Arial"/>
      <family val="2"/>
    </font>
    <font>
      <b/>
      <sz val="14"/>
      <color indexed="10"/>
      <name val="Arial"/>
      <family val="2"/>
    </font>
    <font>
      <sz val="8"/>
      <name val="Arial"/>
      <family val="2"/>
    </font>
    <font>
      <sz val="20"/>
      <name val="Arial"/>
      <family val="2"/>
    </font>
    <font>
      <b/>
      <sz val="20"/>
      <color indexed="55"/>
      <name val="Arial"/>
      <family val="2"/>
    </font>
    <font>
      <sz val="11"/>
      <color theme="1"/>
      <name val="Calibri"/>
      <family val="2"/>
      <scheme val="minor"/>
    </font>
    <font>
      <sz val="11"/>
      <color rgb="FFFF0000"/>
      <name val="Calibri"/>
      <family val="2"/>
      <scheme val="minor"/>
    </font>
    <font>
      <b/>
      <sz val="11"/>
      <color theme="1"/>
      <name val="Calibri"/>
      <family val="2"/>
      <scheme val="minor"/>
    </font>
    <font>
      <b/>
      <sz val="20"/>
      <color theme="1"/>
      <name val="Calibri"/>
      <family val="2"/>
      <scheme val="minor"/>
    </font>
    <font>
      <b/>
      <sz val="16"/>
      <color rgb="FF000000"/>
      <name val="Arial"/>
      <family val="2"/>
    </font>
    <font>
      <b/>
      <sz val="14"/>
      <color rgb="FF000000"/>
      <name val="Arial"/>
      <family val="2"/>
    </font>
    <font>
      <sz val="10"/>
      <color rgb="FFFF0000"/>
      <name val="Calibri"/>
      <family val="2"/>
    </font>
    <font>
      <b/>
      <sz val="9"/>
      <name val="Calibri"/>
      <family val="2"/>
    </font>
    <font>
      <sz val="9"/>
      <name val="Calibri"/>
      <family val="2"/>
    </font>
    <font>
      <sz val="9"/>
      <name val="Arial"/>
      <family val="2"/>
    </font>
    <font>
      <sz val="9"/>
      <color rgb="FFFF0000"/>
      <name val="Arial"/>
      <family val="2"/>
    </font>
    <font>
      <b/>
      <sz val="9"/>
      <color indexed="81"/>
      <name val="Segoe UI"/>
      <family val="2"/>
    </font>
    <font>
      <sz val="10"/>
      <color rgb="FFFF0000"/>
      <name val="Arial"/>
      <family val="2"/>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b/>
      <sz val="18"/>
      <color theme="3"/>
      <name val="Cambria"/>
      <family val="2"/>
      <scheme val="major"/>
    </font>
    <font>
      <sz val="11"/>
      <color rgb="FF9C6500"/>
      <name val="Calibri"/>
      <family val="2"/>
      <scheme val="minor"/>
    </font>
    <font>
      <sz val="14"/>
      <color indexed="55"/>
      <name val="Arial"/>
      <family val="2"/>
    </font>
    <font>
      <sz val="16"/>
      <color indexed="55"/>
      <name val="Arial"/>
      <family val="2"/>
    </font>
    <font>
      <b/>
      <sz val="10"/>
      <color rgb="FFFF0000"/>
      <name val="Arial"/>
      <family val="2"/>
    </font>
    <font>
      <sz val="9"/>
      <color indexed="81"/>
      <name val="Segoe UI"/>
      <family val="2"/>
    </font>
    <font>
      <b/>
      <sz val="10"/>
      <color theme="0"/>
      <name val="Arial"/>
      <family val="2"/>
    </font>
    <font>
      <b/>
      <sz val="10"/>
      <color theme="3" tint="-0.249977111117893"/>
      <name val="Arial"/>
      <family val="2"/>
    </font>
    <font>
      <sz val="10"/>
      <color theme="3" tint="-0.249977111117893"/>
      <name val="Arial"/>
      <family val="2"/>
    </font>
    <font>
      <b/>
      <sz val="10"/>
      <color theme="0"/>
      <name val="Calibri"/>
      <family val="2"/>
    </font>
    <font>
      <sz val="10"/>
      <color theme="0"/>
      <name val="Calibri"/>
      <family val="2"/>
    </font>
    <font>
      <b/>
      <sz val="12"/>
      <name val="Calibri"/>
      <family val="2"/>
    </font>
    <font>
      <sz val="10"/>
      <color theme="0" tint="-0.14999847407452621"/>
      <name val="Calibri"/>
      <family val="2"/>
    </font>
  </fonts>
  <fills count="82">
    <fill>
      <patternFill patternType="none"/>
    </fill>
    <fill>
      <patternFill patternType="gray125"/>
    </fill>
    <fill>
      <patternFill patternType="solid">
        <fgColor indexed="65"/>
        <bgColor indexed="64"/>
      </patternFill>
    </fill>
    <fill>
      <patternFill patternType="solid">
        <fgColor indexed="44"/>
        <bgColor indexed="64"/>
      </patternFill>
    </fill>
    <fill>
      <patternFill patternType="solid">
        <fgColor indexed="50"/>
        <bgColor indexed="64"/>
      </patternFill>
    </fill>
    <fill>
      <patternFill patternType="solid">
        <fgColor indexed="31"/>
        <bgColor indexed="64"/>
      </patternFill>
    </fill>
    <fill>
      <patternFill patternType="solid">
        <fgColor indexed="13"/>
        <bgColor indexed="64"/>
      </patternFill>
    </fill>
    <fill>
      <patternFill patternType="solid">
        <fgColor indexed="55"/>
        <bgColor indexed="64"/>
      </patternFill>
    </fill>
    <fill>
      <patternFill patternType="solid">
        <fgColor indexed="27"/>
        <bgColor indexed="64"/>
      </patternFill>
    </fill>
    <fill>
      <patternFill patternType="solid">
        <fgColor indexed="30"/>
        <bgColor indexed="64"/>
      </patternFill>
    </fill>
    <fill>
      <patternFill patternType="solid">
        <fgColor indexed="9"/>
        <bgColor indexed="64"/>
      </patternFill>
    </fill>
    <fill>
      <patternFill patternType="solid">
        <fgColor indexed="49"/>
        <bgColor indexed="64"/>
      </patternFill>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rgb="FFFFFFCC"/>
      </patternFill>
    </fill>
    <fill>
      <patternFill patternType="solid">
        <fgColor theme="0"/>
        <bgColor indexed="64"/>
      </patternFill>
    </fill>
    <fill>
      <patternFill patternType="solid">
        <fgColor rgb="FFFF0000"/>
        <bgColor indexed="64"/>
      </patternFill>
    </fill>
    <fill>
      <patternFill patternType="solid">
        <fgColor theme="0" tint="-0.34998626667073579"/>
        <bgColor indexed="64"/>
      </patternFill>
    </fill>
    <fill>
      <patternFill patternType="solid">
        <fgColor rgb="FFFFFF00"/>
        <bgColor indexed="64"/>
      </patternFill>
    </fill>
    <fill>
      <patternFill patternType="solid">
        <fgColor rgb="FF00B050"/>
        <bgColor indexed="64"/>
      </patternFill>
    </fill>
    <fill>
      <patternFill patternType="solid">
        <fgColor theme="6" tint="0.59999389629810485"/>
        <bgColor indexed="64"/>
      </patternFill>
    </fill>
    <fill>
      <patternFill patternType="solid">
        <fgColor rgb="FFFFFFCC"/>
        <bgColor indexed="64"/>
      </patternFill>
    </fill>
    <fill>
      <patternFill patternType="solid">
        <fgColor rgb="FFFFC000"/>
        <bgColor indexed="64"/>
      </patternFill>
    </fill>
    <fill>
      <patternFill patternType="solid">
        <fgColor theme="0" tint="-0.14999847407452621"/>
        <bgColor indexed="64"/>
      </patternFill>
    </fill>
    <fill>
      <patternFill patternType="solid">
        <fgColor theme="3" tint="0.79998168889431442"/>
        <bgColor indexed="64"/>
      </patternFill>
    </fill>
    <fill>
      <patternFill patternType="solid">
        <fgColor rgb="FF969696"/>
        <bgColor indexed="64"/>
      </patternFill>
    </fill>
    <fill>
      <patternFill patternType="solid">
        <fgColor theme="4" tint="0.59999389629810485"/>
        <bgColor indexed="64"/>
      </patternFill>
    </fill>
    <fill>
      <patternFill patternType="gray0625">
        <bgColor theme="4" tint="0.59999389629810485"/>
      </patternFill>
    </fill>
    <fill>
      <patternFill patternType="solid">
        <fgColor theme="8" tint="-0.249977111117893"/>
        <bgColor indexed="64"/>
      </patternFill>
    </fill>
    <fill>
      <patternFill patternType="solid">
        <fgColor theme="0" tint="-0.249977111117893"/>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theme="4" tint="0.79998168889431442"/>
        <bgColor indexed="64"/>
      </patternFill>
    </fill>
    <fill>
      <patternFill patternType="solid">
        <fgColor theme="3" tint="0.59999389629810485"/>
        <bgColor indexed="64"/>
      </patternFill>
    </fill>
    <fill>
      <patternFill patternType="solid">
        <fgColor theme="4" tint="0.39997558519241921"/>
        <bgColor indexed="64"/>
      </patternFill>
    </fill>
    <fill>
      <patternFill patternType="solid">
        <fgColor theme="4" tint="-0.249977111117893"/>
        <bgColor indexed="64"/>
      </patternFill>
    </fill>
    <fill>
      <patternFill patternType="solid">
        <fgColor theme="3" tint="0.39997558519241921"/>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9" tint="-0.249977111117893"/>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8" tint="0.59999389629810485"/>
        <bgColor indexed="64"/>
      </patternFill>
    </fill>
    <fill>
      <patternFill patternType="solid">
        <fgColor theme="0" tint="-0.499984740745262"/>
        <bgColor indexed="64"/>
      </patternFill>
    </fill>
    <fill>
      <patternFill patternType="solid">
        <fgColor rgb="FFC5D9F1"/>
        <bgColor indexed="64"/>
      </patternFill>
    </fill>
    <fill>
      <patternFill patternType="solid">
        <fgColor rgb="FFDAEEF3"/>
        <bgColor indexed="64"/>
      </patternFill>
    </fill>
    <fill>
      <patternFill patternType="solid">
        <fgColor rgb="FFB8CCE4"/>
        <bgColor indexed="64"/>
      </patternFill>
    </fill>
    <fill>
      <patternFill patternType="solid">
        <fgColor rgb="FF92CDDC"/>
        <bgColor indexed="64"/>
      </patternFill>
    </fill>
    <fill>
      <patternFill patternType="solid">
        <fgColor rgb="FF8DB4E2"/>
        <bgColor indexed="64"/>
      </patternFill>
    </fill>
    <fill>
      <patternFill patternType="solid">
        <fgColor rgb="FF538DD5"/>
        <bgColor indexed="64"/>
      </patternFill>
    </fill>
    <fill>
      <patternFill patternType="solid">
        <fgColor theme="0"/>
        <bgColor theme="1"/>
      </patternFill>
    </fill>
    <fill>
      <patternFill patternType="solid">
        <fgColor theme="3" tint="-0.249977111117893"/>
        <bgColor indexed="64"/>
      </patternFill>
    </fill>
    <fill>
      <patternFill patternType="solid">
        <fgColor theme="1"/>
        <bgColor indexed="64"/>
      </patternFill>
    </fill>
    <fill>
      <patternFill patternType="solid">
        <fgColor theme="1" tint="0.14999847407452621"/>
        <bgColor indexed="64"/>
      </patternFill>
    </fill>
  </fills>
  <borders count="113">
    <border>
      <left/>
      <right/>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hair">
        <color indexed="64"/>
      </left>
      <right/>
      <top/>
      <bottom style="hair">
        <color indexed="64"/>
      </bottom>
      <diagonal/>
    </border>
    <border>
      <left style="medium">
        <color indexed="64"/>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style="medium">
        <color indexed="64"/>
      </right>
      <top/>
      <bottom style="hair">
        <color indexed="64"/>
      </bottom>
      <diagonal/>
    </border>
    <border>
      <left style="medium">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hair">
        <color indexed="64"/>
      </left>
      <right style="hair">
        <color indexed="64"/>
      </right>
      <top/>
      <bottom/>
      <diagonal/>
    </border>
    <border>
      <left/>
      <right style="hair">
        <color indexed="64"/>
      </right>
      <top style="hair">
        <color indexed="64"/>
      </top>
      <bottom style="hair">
        <color indexed="64"/>
      </bottom>
      <diagonal/>
    </border>
    <border>
      <left/>
      <right style="hair">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top/>
      <bottom style="hair">
        <color indexed="64"/>
      </bottom>
      <diagonal/>
    </border>
    <border>
      <left style="medium">
        <color indexed="64"/>
      </left>
      <right style="medium">
        <color indexed="64"/>
      </right>
      <top/>
      <bottom style="hair">
        <color indexed="64"/>
      </bottom>
      <diagonal/>
    </border>
    <border>
      <left style="medium">
        <color indexed="64"/>
      </left>
      <right style="hair">
        <color indexed="64"/>
      </right>
      <top style="hair">
        <color indexed="64"/>
      </top>
      <bottom style="medium">
        <color indexed="64"/>
      </bottom>
      <diagonal/>
    </border>
    <border>
      <left style="hair">
        <color indexed="64"/>
      </left>
      <right style="hair">
        <color indexed="64"/>
      </right>
      <top style="hair">
        <color indexed="64"/>
      </top>
      <bottom style="medium">
        <color indexed="64"/>
      </bottom>
      <diagonal/>
    </border>
    <border>
      <left style="thin">
        <color indexed="8"/>
      </left>
      <right style="thin">
        <color indexed="8"/>
      </right>
      <top style="thin">
        <color indexed="8"/>
      </top>
      <bottom style="thin">
        <color indexed="8"/>
      </bottom>
      <diagonal/>
    </border>
    <border>
      <left style="hair">
        <color indexed="64"/>
      </left>
      <right/>
      <top/>
      <bottom/>
      <diagonal/>
    </border>
    <border>
      <left style="medium">
        <color indexed="64"/>
      </left>
      <right style="hair">
        <color indexed="64"/>
      </right>
      <top style="medium">
        <color indexed="64"/>
      </top>
      <bottom/>
      <diagonal/>
    </border>
    <border>
      <left style="hair">
        <color indexed="64"/>
      </left>
      <right style="hair">
        <color indexed="64"/>
      </right>
      <top style="medium">
        <color indexed="64"/>
      </top>
      <bottom/>
      <diagonal/>
    </border>
    <border>
      <left style="hair">
        <color indexed="64"/>
      </left>
      <right style="medium">
        <color indexed="64"/>
      </right>
      <top style="medium">
        <color indexed="64"/>
      </top>
      <bottom/>
      <diagonal/>
    </border>
    <border>
      <left style="thin">
        <color indexed="8"/>
      </left>
      <right style="thin">
        <color indexed="8"/>
      </right>
      <top style="thin">
        <color indexed="8"/>
      </top>
      <bottom/>
      <diagonal/>
    </border>
    <border>
      <left style="thin">
        <color indexed="8"/>
      </left>
      <right style="thin">
        <color indexed="8"/>
      </right>
      <top/>
      <bottom style="thin">
        <color indexed="8"/>
      </bottom>
      <diagonal/>
    </border>
    <border>
      <left style="thin">
        <color indexed="64"/>
      </left>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hair">
        <color indexed="64"/>
      </right>
      <top/>
      <bottom/>
      <diagonal/>
    </border>
    <border>
      <left style="hair">
        <color indexed="64"/>
      </left>
      <right style="medium">
        <color indexed="64"/>
      </right>
      <top/>
      <bottom/>
      <diagonal/>
    </border>
    <border>
      <left style="medium">
        <color indexed="64"/>
      </left>
      <right/>
      <top/>
      <bottom/>
      <diagonal/>
    </border>
    <border>
      <left/>
      <right style="medium">
        <color indexed="64"/>
      </right>
      <top/>
      <bottom/>
      <diagonal/>
    </border>
    <border>
      <left style="thin">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hair">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medium">
        <color indexed="64"/>
      </right>
      <top style="hair">
        <color indexed="64"/>
      </top>
      <bottom style="medium">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right style="thin">
        <color indexed="64"/>
      </right>
      <top style="medium">
        <color indexed="64"/>
      </top>
      <bottom/>
      <diagonal/>
    </border>
    <border>
      <left/>
      <right style="thin">
        <color indexed="64"/>
      </right>
      <top/>
      <bottom style="medium">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rgb="FFB2B2B2"/>
      </left>
      <right style="thin">
        <color rgb="FFB2B2B2"/>
      </right>
      <top style="thin">
        <color rgb="FFB2B2B2"/>
      </top>
      <bottom style="thin">
        <color rgb="FFB2B2B2"/>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hair">
        <color indexed="64"/>
      </top>
      <bottom style="medium">
        <color indexed="64"/>
      </bottom>
      <diagonal/>
    </border>
    <border>
      <left style="medium">
        <color indexed="64"/>
      </left>
      <right style="medium">
        <color indexed="64"/>
      </right>
      <top style="medium">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medium">
        <color indexed="64"/>
      </right>
      <top style="medium">
        <color indexed="64"/>
      </top>
      <bottom/>
      <diagonal/>
    </border>
    <border>
      <left style="medium">
        <color indexed="64"/>
      </left>
      <right style="medium">
        <color indexed="64"/>
      </right>
      <top style="hair">
        <color indexed="64"/>
      </top>
      <bottom/>
      <diagonal/>
    </border>
    <border>
      <left/>
      <right style="hair">
        <color indexed="64"/>
      </right>
      <top style="medium">
        <color indexed="64"/>
      </top>
      <bottom style="medium">
        <color indexed="64"/>
      </bottom>
      <diagonal/>
    </border>
    <border>
      <left style="hair">
        <color indexed="64"/>
      </left>
      <right style="hair">
        <color indexed="64"/>
      </right>
      <top style="medium">
        <color indexed="64"/>
      </top>
      <bottom style="medium">
        <color indexed="64"/>
      </bottom>
      <diagonal/>
    </border>
    <border>
      <left style="hair">
        <color indexed="64"/>
      </left>
      <right/>
      <top style="medium">
        <color indexed="64"/>
      </top>
      <bottom style="medium">
        <color indexed="64"/>
      </bottom>
      <diagonal/>
    </border>
    <border>
      <left style="medium">
        <color indexed="64"/>
      </left>
      <right style="hair">
        <color indexed="64"/>
      </right>
      <top style="medium">
        <color indexed="64"/>
      </top>
      <bottom style="medium">
        <color indexed="64"/>
      </bottom>
      <diagonal/>
    </border>
    <border>
      <left style="hair">
        <color indexed="64"/>
      </left>
      <right style="medium">
        <color indexed="64"/>
      </right>
      <top style="medium">
        <color indexed="64"/>
      </top>
      <bottom style="medium">
        <color indexed="64"/>
      </bottom>
      <diagonal/>
    </border>
    <border>
      <left/>
      <right/>
      <top style="hair">
        <color indexed="64"/>
      </top>
      <bottom style="medium">
        <color indexed="64"/>
      </bottom>
      <diagonal/>
    </border>
    <border>
      <left/>
      <right style="medium">
        <color indexed="64"/>
      </right>
      <top style="hair">
        <color indexed="64"/>
      </top>
      <bottom style="medium">
        <color indexed="64"/>
      </bottom>
      <diagonal/>
    </border>
    <border>
      <left style="medium">
        <color indexed="64"/>
      </left>
      <right style="medium">
        <color indexed="64"/>
      </right>
      <top style="hair">
        <color indexed="64"/>
      </top>
      <bottom style="hair">
        <color indexed="64"/>
      </bottom>
      <diagonal/>
    </border>
    <border>
      <left style="thin">
        <color theme="3" tint="-0.24994659260841701"/>
      </left>
      <right style="thin">
        <color indexed="64"/>
      </right>
      <top style="thin">
        <color theme="3" tint="-0.24994659260841701"/>
      </top>
      <bottom style="thin">
        <color theme="3" tint="-0.24994659260841701"/>
      </bottom>
      <diagonal/>
    </border>
    <border>
      <left style="thin">
        <color indexed="64"/>
      </left>
      <right style="thin">
        <color indexed="64"/>
      </right>
      <top style="thin">
        <color theme="3" tint="-0.24994659260841701"/>
      </top>
      <bottom style="thin">
        <color theme="3" tint="-0.24994659260841701"/>
      </bottom>
      <diagonal/>
    </border>
    <border>
      <left style="thin">
        <color indexed="64"/>
      </left>
      <right style="thin">
        <color theme="3" tint="-0.24994659260841701"/>
      </right>
      <top style="thin">
        <color theme="3" tint="-0.24994659260841701"/>
      </top>
      <bottom style="thin">
        <color theme="3" tint="-0.24994659260841701"/>
      </bottom>
      <diagonal/>
    </border>
    <border>
      <left style="thick">
        <color theme="3" tint="-0.24994659260841701"/>
      </left>
      <right style="thick">
        <color theme="3" tint="-0.24994659260841701"/>
      </right>
      <top style="thick">
        <color theme="3" tint="-0.24994659260841701"/>
      </top>
      <bottom style="thin">
        <color theme="3" tint="-0.24994659260841701"/>
      </bottom>
      <diagonal/>
    </border>
    <border>
      <left style="thick">
        <color theme="3" tint="-0.24994659260841701"/>
      </left>
      <right style="thick">
        <color theme="3" tint="-0.24994659260841701"/>
      </right>
      <top style="thin">
        <color theme="3" tint="-0.24994659260841701"/>
      </top>
      <bottom style="thick">
        <color theme="3" tint="-0.24994659260841701"/>
      </bottom>
      <diagonal/>
    </border>
    <border>
      <left style="thick">
        <color theme="3" tint="-0.24994659260841701"/>
      </left>
      <right style="thick">
        <color theme="3" tint="-0.24994659260841701"/>
      </right>
      <top style="thick">
        <color theme="3" tint="-0.24994659260841701"/>
      </top>
      <bottom style="thin">
        <color indexed="64"/>
      </bottom>
      <diagonal/>
    </border>
    <border>
      <left style="thick">
        <color theme="3" tint="-0.24994659260841701"/>
      </left>
      <right style="thick">
        <color theme="3" tint="-0.24994659260841701"/>
      </right>
      <top style="thin">
        <color indexed="64"/>
      </top>
      <bottom style="thick">
        <color theme="3" tint="-0.24994659260841701"/>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top style="thin">
        <color indexed="64"/>
      </top>
      <bottom style="medium">
        <color indexed="64"/>
      </bottom>
      <diagonal/>
    </border>
    <border>
      <left style="medium">
        <color indexed="64"/>
      </left>
      <right style="hair">
        <color indexed="64"/>
      </right>
      <top style="medium">
        <color indexed="64"/>
      </top>
      <bottom style="hair">
        <color indexed="64"/>
      </bottom>
      <diagonal/>
    </border>
    <border>
      <left style="hair">
        <color indexed="64"/>
      </left>
      <right style="hair">
        <color indexed="64"/>
      </right>
      <top style="medium">
        <color indexed="64"/>
      </top>
      <bottom style="hair">
        <color indexed="64"/>
      </bottom>
      <diagonal/>
    </border>
  </borders>
  <cellStyleXfs count="80">
    <xf numFmtId="0" fontId="0" fillId="0" borderId="0"/>
    <xf numFmtId="0" fontId="47" fillId="12" borderId="0" applyNumberFormat="0" applyBorder="0" applyAlignment="0" applyProtection="0"/>
    <xf numFmtId="0" fontId="47" fillId="12" borderId="0" applyNumberFormat="0" applyBorder="0" applyAlignment="0" applyProtection="0"/>
    <xf numFmtId="0" fontId="47" fillId="13" borderId="0" applyNumberFormat="0" applyBorder="0" applyAlignment="0" applyProtection="0"/>
    <xf numFmtId="0" fontId="47" fillId="13" borderId="0" applyNumberFormat="0" applyBorder="0" applyAlignment="0" applyProtection="0"/>
    <xf numFmtId="0" fontId="47" fillId="14" borderId="0" applyNumberFormat="0" applyBorder="0" applyAlignment="0" applyProtection="0"/>
    <xf numFmtId="0" fontId="47" fillId="14" borderId="0" applyNumberFormat="0" applyBorder="0" applyAlignment="0" applyProtection="0"/>
    <xf numFmtId="0" fontId="47" fillId="15" borderId="0" applyNumberFormat="0" applyBorder="0" applyAlignment="0" applyProtection="0"/>
    <xf numFmtId="0" fontId="47" fillId="15" borderId="0" applyNumberFormat="0" applyBorder="0" applyAlignment="0" applyProtection="0"/>
    <xf numFmtId="0" fontId="47" fillId="16" borderId="0" applyNumberFormat="0" applyBorder="0" applyAlignment="0" applyProtection="0"/>
    <xf numFmtId="0" fontId="47" fillId="16" borderId="0" applyNumberFormat="0" applyBorder="0" applyAlignment="0" applyProtection="0"/>
    <xf numFmtId="0" fontId="47" fillId="17" borderId="0" applyNumberFormat="0" applyBorder="0" applyAlignment="0" applyProtection="0"/>
    <xf numFmtId="0" fontId="47" fillId="17" borderId="0" applyNumberFormat="0" applyBorder="0" applyAlignment="0" applyProtection="0"/>
    <xf numFmtId="0" fontId="47" fillId="18" borderId="0" applyNumberFormat="0" applyBorder="0" applyAlignment="0" applyProtection="0"/>
    <xf numFmtId="0" fontId="47" fillId="18" borderId="0" applyNumberFormat="0" applyBorder="0" applyAlignment="0" applyProtection="0"/>
    <xf numFmtId="0" fontId="47" fillId="19" borderId="0" applyNumberFormat="0" applyBorder="0" applyAlignment="0" applyProtection="0"/>
    <xf numFmtId="0" fontId="47" fillId="19" borderId="0" applyNumberFormat="0" applyBorder="0" applyAlignment="0" applyProtection="0"/>
    <xf numFmtId="0" fontId="47" fillId="20" borderId="0" applyNumberFormat="0" applyBorder="0" applyAlignment="0" applyProtection="0"/>
    <xf numFmtId="0" fontId="47" fillId="20" borderId="0" applyNumberFormat="0" applyBorder="0" applyAlignment="0" applyProtection="0"/>
    <xf numFmtId="0" fontId="47" fillId="21" borderId="0" applyNumberFormat="0" applyBorder="0" applyAlignment="0" applyProtection="0"/>
    <xf numFmtId="0" fontId="47" fillId="21" borderId="0" applyNumberFormat="0" applyBorder="0" applyAlignment="0" applyProtection="0"/>
    <xf numFmtId="0" fontId="47" fillId="22" borderId="0" applyNumberFormat="0" applyBorder="0" applyAlignment="0" applyProtection="0"/>
    <xf numFmtId="0" fontId="47" fillId="22" borderId="0" applyNumberFormat="0" applyBorder="0" applyAlignment="0" applyProtection="0"/>
    <xf numFmtId="0" fontId="47" fillId="23" borderId="0" applyNumberFormat="0" applyBorder="0" applyAlignment="0" applyProtection="0"/>
    <xf numFmtId="0" fontId="47" fillId="23" borderId="0" applyNumberFormat="0" applyBorder="0" applyAlignment="0" applyProtection="0"/>
    <xf numFmtId="0" fontId="47" fillId="0" borderId="0"/>
    <xf numFmtId="0" fontId="8" fillId="0" borderId="0"/>
    <xf numFmtId="0" fontId="8" fillId="0" borderId="0"/>
    <xf numFmtId="0" fontId="8" fillId="0" borderId="0"/>
    <xf numFmtId="0" fontId="47" fillId="0" borderId="0"/>
    <xf numFmtId="0" fontId="47" fillId="0" borderId="0"/>
    <xf numFmtId="0" fontId="9" fillId="0" borderId="0"/>
    <xf numFmtId="0" fontId="23" fillId="24" borderId="64" applyNumberFormat="0" applyFont="0" applyAlignment="0" applyProtection="0"/>
    <xf numFmtId="0" fontId="23" fillId="24" borderId="64" applyNumberFormat="0" applyFont="0" applyAlignment="0" applyProtection="0"/>
    <xf numFmtId="9" fontId="5" fillId="0" borderId="0" applyFont="0" applyFill="0" applyBorder="0" applyAlignment="0" applyProtection="0"/>
    <xf numFmtId="9" fontId="8" fillId="0" borderId="0" applyFont="0" applyFill="0" applyBorder="0" applyAlignment="0" applyProtection="0"/>
    <xf numFmtId="0" fontId="60" fillId="0" borderId="70" applyNumberFormat="0" applyFill="0" applyAlignment="0" applyProtection="0"/>
    <xf numFmtId="0" fontId="61" fillId="0" borderId="71" applyNumberFormat="0" applyFill="0" applyAlignment="0" applyProtection="0"/>
    <xf numFmtId="0" fontId="62" fillId="0" borderId="72" applyNumberFormat="0" applyFill="0" applyAlignment="0" applyProtection="0"/>
    <xf numFmtId="0" fontId="62" fillId="0" borderId="0" applyNumberFormat="0" applyFill="0" applyBorder="0" applyAlignment="0" applyProtection="0"/>
    <xf numFmtId="0" fontId="63" fillId="40" borderId="0" applyNumberFormat="0" applyBorder="0" applyAlignment="0" applyProtection="0"/>
    <xf numFmtId="0" fontId="64" fillId="41" borderId="0" applyNumberFormat="0" applyBorder="0" applyAlignment="0" applyProtection="0"/>
    <xf numFmtId="0" fontId="65" fillId="43" borderId="73" applyNumberFormat="0" applyAlignment="0" applyProtection="0"/>
    <xf numFmtId="0" fontId="66" fillId="44" borderId="74" applyNumberFormat="0" applyAlignment="0" applyProtection="0"/>
    <xf numFmtId="0" fontId="67" fillId="44" borderId="73" applyNumberFormat="0" applyAlignment="0" applyProtection="0"/>
    <xf numFmtId="0" fontId="68" fillId="0" borderId="75" applyNumberFormat="0" applyFill="0" applyAlignment="0" applyProtection="0"/>
    <xf numFmtId="0" fontId="69" fillId="45" borderId="76" applyNumberFormat="0" applyAlignment="0" applyProtection="0"/>
    <xf numFmtId="0" fontId="48" fillId="0" borderId="0" applyNumberFormat="0" applyFill="0" applyBorder="0" applyAlignment="0" applyProtection="0"/>
    <xf numFmtId="0" fontId="70" fillId="0" borderId="0" applyNumberFormat="0" applyFill="0" applyBorder="0" applyAlignment="0" applyProtection="0"/>
    <xf numFmtId="0" fontId="49" fillId="0" borderId="77" applyNumberFormat="0" applyFill="0" applyAlignment="0" applyProtection="0"/>
    <xf numFmtId="0" fontId="71" fillId="46" borderId="0" applyNumberFormat="0" applyBorder="0" applyAlignment="0" applyProtection="0"/>
    <xf numFmtId="0" fontId="4" fillId="12" borderId="0" applyNumberFormat="0" applyBorder="0" applyAlignment="0" applyProtection="0"/>
    <xf numFmtId="0" fontId="4" fillId="18" borderId="0" applyNumberFormat="0" applyBorder="0" applyAlignment="0" applyProtection="0"/>
    <xf numFmtId="0" fontId="71" fillId="48" borderId="0" applyNumberFormat="0" applyBorder="0" applyAlignment="0" applyProtection="0"/>
    <xf numFmtId="0" fontId="4" fillId="13" borderId="0" applyNumberFormat="0" applyBorder="0" applyAlignment="0" applyProtection="0"/>
    <xf numFmtId="0" fontId="4" fillId="19" borderId="0" applyNumberFormat="0" applyBorder="0" applyAlignment="0" applyProtection="0"/>
    <xf numFmtId="0" fontId="71" fillId="50" borderId="0" applyNumberFormat="0" applyBorder="0" applyAlignment="0" applyProtection="0"/>
    <xf numFmtId="0" fontId="4" fillId="14" borderId="0" applyNumberFormat="0" applyBorder="0" applyAlignment="0" applyProtection="0"/>
    <xf numFmtId="0" fontId="4" fillId="20" borderId="0" applyNumberFormat="0" applyBorder="0" applyAlignment="0" applyProtection="0"/>
    <xf numFmtId="0" fontId="71" fillId="52" borderId="0" applyNumberFormat="0" applyBorder="0" applyAlignment="0" applyProtection="0"/>
    <xf numFmtId="0" fontId="4" fillId="15" borderId="0" applyNumberFormat="0" applyBorder="0" applyAlignment="0" applyProtection="0"/>
    <xf numFmtId="0" fontId="4" fillId="21" borderId="0" applyNumberFormat="0" applyBorder="0" applyAlignment="0" applyProtection="0"/>
    <xf numFmtId="0" fontId="71" fillId="54" borderId="0" applyNumberFormat="0" applyBorder="0" applyAlignment="0" applyProtection="0"/>
    <xf numFmtId="0" fontId="4" fillId="16" borderId="0" applyNumberFormat="0" applyBorder="0" applyAlignment="0" applyProtection="0"/>
    <xf numFmtId="0" fontId="4" fillId="22" borderId="0" applyNumberFormat="0" applyBorder="0" applyAlignment="0" applyProtection="0"/>
    <xf numFmtId="0" fontId="71" fillId="56" borderId="0" applyNumberFormat="0" applyBorder="0" applyAlignment="0" applyProtection="0"/>
    <xf numFmtId="0" fontId="4" fillId="17" borderId="0" applyNumberFormat="0" applyBorder="0" applyAlignment="0" applyProtection="0"/>
    <xf numFmtId="0" fontId="4" fillId="23" borderId="0" applyNumberFormat="0" applyBorder="0" applyAlignment="0" applyProtection="0"/>
    <xf numFmtId="0" fontId="4" fillId="0" borderId="0"/>
    <xf numFmtId="0" fontId="72" fillId="0" borderId="0" applyNumberFormat="0" applyFill="0" applyBorder="0" applyAlignment="0" applyProtection="0"/>
    <xf numFmtId="0" fontId="73" fillId="42" borderId="0" applyNumberFormat="0" applyBorder="0" applyAlignment="0" applyProtection="0"/>
    <xf numFmtId="0" fontId="4" fillId="24" borderId="64" applyNumberFormat="0" applyFont="0" applyAlignment="0" applyProtection="0"/>
    <xf numFmtId="0" fontId="71" fillId="47" borderId="0" applyNumberFormat="0" applyBorder="0" applyAlignment="0" applyProtection="0"/>
    <xf numFmtId="0" fontId="71" fillId="49" borderId="0" applyNumberFormat="0" applyBorder="0" applyAlignment="0" applyProtection="0"/>
    <xf numFmtId="0" fontId="71" fillId="51" borderId="0" applyNumberFormat="0" applyBorder="0" applyAlignment="0" applyProtection="0"/>
    <xf numFmtId="0" fontId="71" fillId="53" borderId="0" applyNumberFormat="0" applyBorder="0" applyAlignment="0" applyProtection="0"/>
    <xf numFmtId="0" fontId="71" fillId="55" borderId="0" applyNumberFormat="0" applyBorder="0" applyAlignment="0" applyProtection="0"/>
    <xf numFmtId="0" fontId="71" fillId="57" borderId="0" applyNumberFormat="0" applyBorder="0" applyAlignment="0" applyProtection="0"/>
    <xf numFmtId="0" fontId="5" fillId="0" borderId="0"/>
    <xf numFmtId="0" fontId="5" fillId="0" borderId="0"/>
  </cellStyleXfs>
  <cellXfs count="971">
    <xf numFmtId="0" fontId="0" fillId="0" borderId="0" xfId="0"/>
    <xf numFmtId="0" fontId="0" fillId="0" borderId="0" xfId="0" applyAlignment="1">
      <alignment horizontal="center"/>
    </xf>
    <xf numFmtId="0" fontId="7" fillId="0" borderId="0" xfId="0" applyFont="1" applyAlignment="1">
      <alignment horizontal="center"/>
    </xf>
    <xf numFmtId="0" fontId="8" fillId="0" borderId="0" xfId="0" applyFont="1" applyAlignment="1">
      <alignment horizontal="center"/>
    </xf>
    <xf numFmtId="0" fontId="0" fillId="0" borderId="1" xfId="0" applyBorder="1"/>
    <xf numFmtId="0" fontId="0" fillId="0" borderId="2" xfId="0" applyBorder="1"/>
    <xf numFmtId="0" fontId="7" fillId="0" borderId="3" xfId="0" applyFont="1" applyBorder="1" applyAlignment="1">
      <alignment vertical="center"/>
    </xf>
    <xf numFmtId="0" fontId="8" fillId="0" borderId="3" xfId="0" applyFont="1" applyBorder="1" applyAlignment="1">
      <alignment horizontal="center" vertical="center"/>
    </xf>
    <xf numFmtId="0" fontId="12" fillId="0" borderId="1" xfId="0" applyFont="1" applyBorder="1"/>
    <xf numFmtId="0" fontId="11" fillId="0" borderId="1" xfId="0" applyFont="1" applyBorder="1"/>
    <xf numFmtId="0" fontId="12" fillId="0" borderId="3" xfId="0" applyFont="1" applyBorder="1" applyAlignment="1">
      <alignment horizontal="center" vertical="center"/>
    </xf>
    <xf numFmtId="0" fontId="15" fillId="0" borderId="0" xfId="31" applyFont="1" applyAlignment="1">
      <alignment vertical="center"/>
    </xf>
    <xf numFmtId="0" fontId="16" fillId="0" borderId="0" xfId="31" applyFont="1" applyAlignment="1">
      <alignment horizontal="center" vertical="center"/>
    </xf>
    <xf numFmtId="0" fontId="8" fillId="3" borderId="0" xfId="0" applyFont="1" applyFill="1" applyAlignment="1">
      <alignment horizontal="center"/>
    </xf>
    <xf numFmtId="0" fontId="7" fillId="3" borderId="0" xfId="0" applyFont="1" applyFill="1" applyAlignment="1">
      <alignment horizontal="center"/>
    </xf>
    <xf numFmtId="0" fontId="7" fillId="5" borderId="0" xfId="0" applyFont="1" applyFill="1" applyAlignment="1">
      <alignment horizontal="center"/>
    </xf>
    <xf numFmtId="2" fontId="8" fillId="0" borderId="0" xfId="0" applyNumberFormat="1" applyFont="1" applyAlignment="1">
      <alignment horizontal="center"/>
    </xf>
    <xf numFmtId="165" fontId="8" fillId="0" borderId="0" xfId="0" applyNumberFormat="1" applyFont="1" applyAlignment="1">
      <alignment horizontal="center"/>
    </xf>
    <xf numFmtId="0" fontId="19" fillId="0" borderId="0" xfId="31" applyFont="1" applyAlignment="1">
      <alignment vertical="center"/>
    </xf>
    <xf numFmtId="0" fontId="8" fillId="9" borderId="0" xfId="0" applyFont="1" applyFill="1" applyAlignment="1">
      <alignment horizontal="center"/>
    </xf>
    <xf numFmtId="0" fontId="30" fillId="0" borderId="0" xfId="0" applyFont="1" applyAlignment="1">
      <alignment horizontal="center"/>
    </xf>
    <xf numFmtId="165" fontId="30" fillId="0" borderId="0" xfId="0" applyNumberFormat="1" applyFont="1" applyAlignment="1">
      <alignment horizontal="center"/>
    </xf>
    <xf numFmtId="0" fontId="31" fillId="0" borderId="0" xfId="0" applyFont="1" applyAlignment="1">
      <alignment horizontal="center"/>
    </xf>
    <xf numFmtId="165" fontId="31" fillId="0" borderId="0" xfId="0" applyNumberFormat="1" applyFont="1" applyAlignment="1">
      <alignment horizontal="center"/>
    </xf>
    <xf numFmtId="2" fontId="30" fillId="0" borderId="0" xfId="0" applyNumberFormat="1" applyFont="1" applyAlignment="1">
      <alignment horizontal="center"/>
    </xf>
    <xf numFmtId="0" fontId="41" fillId="0" borderId="29" xfId="0" applyFont="1" applyBorder="1" applyAlignment="1">
      <alignment horizontal="center" vertical="center" wrapText="1" readingOrder="1"/>
    </xf>
    <xf numFmtId="0" fontId="41" fillId="0" borderId="34" xfId="0" applyFont="1" applyBorder="1" applyAlignment="1">
      <alignment horizontal="center" vertical="center" wrapText="1" readingOrder="1"/>
    </xf>
    <xf numFmtId="0" fontId="41" fillId="0" borderId="35" xfId="0" applyFont="1" applyBorder="1" applyAlignment="1">
      <alignment horizontal="center" vertical="center" wrapText="1" readingOrder="1"/>
    </xf>
    <xf numFmtId="0" fontId="30" fillId="10" borderId="0" xfId="0" applyFont="1" applyFill="1" applyAlignment="1">
      <alignment horizontal="center"/>
    </xf>
    <xf numFmtId="0" fontId="8" fillId="10" borderId="0" xfId="0" applyFont="1" applyFill="1" applyAlignment="1">
      <alignment horizontal="center"/>
    </xf>
    <xf numFmtId="165" fontId="30" fillId="10" borderId="0" xfId="0" applyNumberFormat="1" applyFont="1" applyFill="1" applyAlignment="1">
      <alignment horizontal="center"/>
    </xf>
    <xf numFmtId="0" fontId="31" fillId="10" borderId="0" xfId="0" applyFont="1" applyFill="1" applyAlignment="1">
      <alignment horizontal="center"/>
    </xf>
    <xf numFmtId="0" fontId="7" fillId="11" borderId="0" xfId="0" applyFont="1" applyFill="1" applyAlignment="1">
      <alignment horizontal="center"/>
    </xf>
    <xf numFmtId="0" fontId="41" fillId="0" borderId="0" xfId="0" applyFont="1" applyAlignment="1">
      <alignment horizontal="center" vertical="center" wrapText="1" readingOrder="1"/>
    </xf>
    <xf numFmtId="0" fontId="14" fillId="0" borderId="1" xfId="0" applyFont="1" applyBorder="1"/>
    <xf numFmtId="0" fontId="8" fillId="11" borderId="36" xfId="0" applyFont="1" applyFill="1" applyBorder="1" applyAlignment="1">
      <alignment horizontal="center"/>
    </xf>
    <xf numFmtId="0" fontId="7" fillId="11" borderId="1" xfId="0" applyFont="1" applyFill="1" applyBorder="1" applyAlignment="1">
      <alignment horizontal="center"/>
    </xf>
    <xf numFmtId="0" fontId="8" fillId="11" borderId="1" xfId="0" applyFont="1" applyFill="1" applyBorder="1" applyAlignment="1">
      <alignment horizontal="center"/>
    </xf>
    <xf numFmtId="0" fontId="8" fillId="11" borderId="2" xfId="0" applyFont="1" applyFill="1" applyBorder="1" applyAlignment="1">
      <alignment horizontal="center"/>
    </xf>
    <xf numFmtId="0" fontId="8" fillId="11" borderId="37" xfId="0" applyFont="1" applyFill="1" applyBorder="1" applyAlignment="1">
      <alignment horizontal="center"/>
    </xf>
    <xf numFmtId="0" fontId="8" fillId="11" borderId="0" xfId="0" applyFont="1" applyFill="1" applyAlignment="1">
      <alignment horizontal="center"/>
    </xf>
    <xf numFmtId="0" fontId="8" fillId="11" borderId="38" xfId="0" applyFont="1" applyFill="1" applyBorder="1" applyAlignment="1">
      <alignment horizontal="center"/>
    </xf>
    <xf numFmtId="0" fontId="8" fillId="11" borderId="39" xfId="0" applyFont="1" applyFill="1" applyBorder="1" applyAlignment="1">
      <alignment horizontal="center"/>
    </xf>
    <xf numFmtId="0" fontId="7" fillId="11" borderId="40" xfId="0" applyFont="1" applyFill="1" applyBorder="1" applyAlignment="1">
      <alignment horizontal="center"/>
    </xf>
    <xf numFmtId="0" fontId="8" fillId="11" borderId="40" xfId="0" applyFont="1" applyFill="1" applyBorder="1" applyAlignment="1">
      <alignment horizontal="center"/>
    </xf>
    <xf numFmtId="0" fontId="8" fillId="11" borderId="41" xfId="0" applyFont="1" applyFill="1" applyBorder="1" applyAlignment="1">
      <alignment horizontal="center"/>
    </xf>
    <xf numFmtId="0" fontId="16" fillId="0" borderId="42" xfId="31" applyFont="1" applyBorder="1" applyAlignment="1">
      <alignment horizontal="centerContinuous" vertical="center"/>
    </xf>
    <xf numFmtId="0" fontId="16" fillId="0" borderId="12" xfId="31" applyFont="1" applyBorder="1" applyAlignment="1">
      <alignment horizontal="centerContinuous" vertical="center"/>
    </xf>
    <xf numFmtId="0" fontId="16" fillId="0" borderId="42" xfId="31" applyFont="1" applyBorder="1" applyAlignment="1">
      <alignment horizontal="left" vertical="center"/>
    </xf>
    <xf numFmtId="0" fontId="16" fillId="0" borderId="12" xfId="31" applyFont="1" applyBorder="1" applyAlignment="1">
      <alignment horizontal="center" vertical="center"/>
    </xf>
    <xf numFmtId="0" fontId="16" fillId="0" borderId="43" xfId="31" applyFont="1" applyBorder="1" applyAlignment="1">
      <alignment horizontal="center" vertical="center"/>
    </xf>
    <xf numFmtId="0" fontId="16" fillId="0" borderId="31" xfId="31" applyFont="1" applyBorder="1" applyAlignment="1">
      <alignment horizontal="centerContinuous" vertical="center"/>
    </xf>
    <xf numFmtId="0" fontId="16" fillId="0" borderId="32" xfId="31" applyFont="1" applyBorder="1" applyAlignment="1">
      <alignment horizontal="centerContinuous" vertical="center"/>
    </xf>
    <xf numFmtId="0" fontId="16" fillId="0" borderId="33" xfId="31" applyFont="1" applyBorder="1" applyAlignment="1">
      <alignment horizontal="centerContinuous" vertical="center"/>
    </xf>
    <xf numFmtId="0" fontId="16" fillId="0" borderId="16" xfId="31" applyFont="1" applyBorder="1" applyAlignment="1">
      <alignment horizontal="centerContinuous" vertical="center" wrapText="1"/>
    </xf>
    <xf numFmtId="0" fontId="16" fillId="0" borderId="44" xfId="31" applyFont="1" applyBorder="1" applyAlignment="1">
      <alignment horizontal="center" vertical="center"/>
    </xf>
    <xf numFmtId="0" fontId="16" fillId="0" borderId="36" xfId="31" applyFont="1" applyBorder="1" applyAlignment="1">
      <alignment horizontal="centerContinuous" vertical="center"/>
    </xf>
    <xf numFmtId="0" fontId="16" fillId="0" borderId="1" xfId="31" applyFont="1" applyBorder="1" applyAlignment="1">
      <alignment horizontal="centerContinuous" vertical="center"/>
    </xf>
    <xf numFmtId="0" fontId="8" fillId="0" borderId="0" xfId="0" applyFont="1"/>
    <xf numFmtId="0" fontId="34" fillId="0" borderId="47" xfId="0" applyFont="1" applyBorder="1" applyAlignment="1">
      <alignment vertical="center" textRotation="90"/>
    </xf>
    <xf numFmtId="0" fontId="37" fillId="0" borderId="0" xfId="0" applyFont="1" applyAlignment="1">
      <alignment horizontal="center"/>
    </xf>
    <xf numFmtId="165" fontId="37" fillId="0" borderId="0" xfId="0" applyNumberFormat="1" applyFont="1" applyAlignment="1">
      <alignment horizontal="center"/>
    </xf>
    <xf numFmtId="0" fontId="46" fillId="0" borderId="0" xfId="0" applyFont="1" applyAlignment="1">
      <alignment horizontal="center"/>
    </xf>
    <xf numFmtId="0" fontId="45" fillId="0" borderId="0" xfId="0" applyFont="1" applyAlignment="1">
      <alignment horizontal="center"/>
    </xf>
    <xf numFmtId="0" fontId="45" fillId="26" borderId="17" xfId="0" applyFont="1" applyFill="1" applyBorder="1"/>
    <xf numFmtId="0" fontId="45" fillId="26" borderId="18" xfId="0" applyFont="1" applyFill="1" applyBorder="1"/>
    <xf numFmtId="0" fontId="45" fillId="26" borderId="19" xfId="0" applyFont="1" applyFill="1" applyBorder="1"/>
    <xf numFmtId="0" fontId="0" fillId="0" borderId="3" xfId="0" applyBorder="1"/>
    <xf numFmtId="0" fontId="0" fillId="0" borderId="3" xfId="0" applyBorder="1" applyAlignment="1">
      <alignment horizontal="center"/>
    </xf>
    <xf numFmtId="0" fontId="49" fillId="0" borderId="3" xfId="0" applyFont="1" applyBorder="1" applyAlignment="1">
      <alignment horizontal="center"/>
    </xf>
    <xf numFmtId="0" fontId="7" fillId="26" borderId="0" xfId="0" applyFont="1" applyFill="1" applyAlignment="1">
      <alignment horizontal="center"/>
    </xf>
    <xf numFmtId="0" fontId="30" fillId="26" borderId="0" xfId="0" applyFont="1" applyFill="1" applyAlignment="1">
      <alignment horizontal="center"/>
    </xf>
    <xf numFmtId="0" fontId="8" fillId="26" borderId="18" xfId="0" applyFont="1" applyFill="1" applyBorder="1"/>
    <xf numFmtId="0" fontId="8" fillId="26" borderId="22" xfId="0" applyFont="1" applyFill="1" applyBorder="1"/>
    <xf numFmtId="0" fontId="8" fillId="26" borderId="19" xfId="0" applyFont="1" applyFill="1" applyBorder="1"/>
    <xf numFmtId="0" fontId="30" fillId="0" borderId="45" xfId="0" applyFont="1" applyBorder="1" applyAlignment="1">
      <alignment horizontal="center"/>
    </xf>
    <xf numFmtId="0" fontId="8" fillId="0" borderId="44" xfId="0" applyFont="1" applyBorder="1" applyAlignment="1">
      <alignment horizontal="center"/>
    </xf>
    <xf numFmtId="0" fontId="7" fillId="0" borderId="49" xfId="0" applyFont="1" applyBorder="1" applyAlignment="1">
      <alignment horizontal="center"/>
    </xf>
    <xf numFmtId="0" fontId="30" fillId="0" borderId="49" xfId="0" applyFont="1" applyBorder="1" applyAlignment="1">
      <alignment horizontal="center"/>
    </xf>
    <xf numFmtId="0" fontId="30" fillId="0" borderId="50" xfId="0" applyFont="1" applyBorder="1" applyAlignment="1">
      <alignment horizontal="center"/>
    </xf>
    <xf numFmtId="0" fontId="8" fillId="0" borderId="21" xfId="0" applyFont="1" applyBorder="1" applyAlignment="1">
      <alignment horizontal="center"/>
    </xf>
    <xf numFmtId="0" fontId="7" fillId="0" borderId="22" xfId="0" applyFont="1" applyBorder="1" applyAlignment="1">
      <alignment horizontal="center"/>
    </xf>
    <xf numFmtId="0" fontId="30" fillId="0" borderId="22" xfId="0" applyFont="1" applyBorder="1" applyAlignment="1">
      <alignment horizontal="center"/>
    </xf>
    <xf numFmtId="0" fontId="30" fillId="0" borderId="23" xfId="0" applyFont="1" applyBorder="1" applyAlignment="1">
      <alignment horizontal="center"/>
    </xf>
    <xf numFmtId="0" fontId="34" fillId="26" borderId="45" xfId="0" applyFont="1" applyFill="1" applyBorder="1" applyAlignment="1">
      <alignment horizontal="center" vertical="center" textRotation="90"/>
    </xf>
    <xf numFmtId="49" fontId="8" fillId="0" borderId="16" xfId="0" applyNumberFormat="1" applyFont="1" applyBorder="1" applyAlignment="1">
      <alignment horizontal="center"/>
    </xf>
    <xf numFmtId="165" fontId="30" fillId="0" borderId="49" xfId="0" applyNumberFormat="1" applyFont="1" applyBorder="1" applyAlignment="1">
      <alignment horizontal="center"/>
    </xf>
    <xf numFmtId="49" fontId="8" fillId="0" borderId="50" xfId="0" applyNumberFormat="1" applyFont="1" applyBorder="1" applyAlignment="1">
      <alignment horizontal="center"/>
    </xf>
    <xf numFmtId="49" fontId="8" fillId="0" borderId="47" xfId="0" applyNumberFormat="1" applyFont="1" applyBorder="1" applyAlignment="1">
      <alignment horizontal="center"/>
    </xf>
    <xf numFmtId="49" fontId="8" fillId="0" borderId="45" xfId="0" applyNumberFormat="1" applyFont="1" applyBorder="1" applyAlignment="1">
      <alignment horizontal="center"/>
    </xf>
    <xf numFmtId="49" fontId="8" fillId="0" borderId="20" xfId="0" applyNumberFormat="1" applyFont="1" applyBorder="1" applyAlignment="1">
      <alignment horizontal="center"/>
    </xf>
    <xf numFmtId="49" fontId="8" fillId="0" borderId="23" xfId="0" applyNumberFormat="1" applyFont="1" applyBorder="1" applyAlignment="1">
      <alignment horizontal="center"/>
    </xf>
    <xf numFmtId="0" fontId="8" fillId="26" borderId="0" xfId="0" applyFont="1" applyFill="1" applyAlignment="1">
      <alignment horizontal="center"/>
    </xf>
    <xf numFmtId="0" fontId="8" fillId="26" borderId="23" xfId="0" applyFont="1" applyFill="1" applyBorder="1"/>
    <xf numFmtId="0" fontId="7" fillId="26" borderId="18" xfId="0" applyFont="1" applyFill="1" applyBorder="1" applyAlignment="1">
      <alignment horizontal="center"/>
    </xf>
    <xf numFmtId="0" fontId="30" fillId="26" borderId="18" xfId="0" applyFont="1" applyFill="1" applyBorder="1" applyAlignment="1">
      <alignment horizontal="center"/>
    </xf>
    <xf numFmtId="165" fontId="31" fillId="26" borderId="19" xfId="0" applyNumberFormat="1" applyFont="1" applyFill="1" applyBorder="1" applyAlignment="1">
      <alignment horizontal="center"/>
    </xf>
    <xf numFmtId="0" fontId="0" fillId="0" borderId="51" xfId="0" applyBorder="1"/>
    <xf numFmtId="0" fontId="0" fillId="0" borderId="51" xfId="0" applyBorder="1" applyAlignment="1">
      <alignment horizontal="center"/>
    </xf>
    <xf numFmtId="0" fontId="30" fillId="26" borderId="19" xfId="0" applyFont="1" applyFill="1" applyBorder="1" applyAlignment="1">
      <alignment horizontal="center"/>
    </xf>
    <xf numFmtId="165" fontId="7" fillId="3" borderId="0" xfId="0" applyNumberFormat="1" applyFont="1" applyFill="1" applyAlignment="1">
      <alignment horizontal="center"/>
    </xf>
    <xf numFmtId="165" fontId="45" fillId="26" borderId="18" xfId="0" applyNumberFormat="1" applyFont="1" applyFill="1" applyBorder="1"/>
    <xf numFmtId="165" fontId="8" fillId="26" borderId="18" xfId="0" applyNumberFormat="1" applyFont="1" applyFill="1" applyBorder="1"/>
    <xf numFmtId="165" fontId="30" fillId="0" borderId="22" xfId="0" applyNumberFormat="1" applyFont="1" applyBorder="1" applyAlignment="1">
      <alignment horizontal="center"/>
    </xf>
    <xf numFmtId="165" fontId="8" fillId="26" borderId="22" xfId="0" applyNumberFormat="1" applyFont="1" applyFill="1" applyBorder="1"/>
    <xf numFmtId="165" fontId="30" fillId="26" borderId="0" xfId="0" applyNumberFormat="1" applyFont="1" applyFill="1" applyAlignment="1">
      <alignment horizontal="center"/>
    </xf>
    <xf numFmtId="165" fontId="30" fillId="26" borderId="18" xfId="0" applyNumberFormat="1" applyFont="1" applyFill="1" applyBorder="1" applyAlignment="1">
      <alignment horizontal="center"/>
    </xf>
    <xf numFmtId="165" fontId="8" fillId="11" borderId="1" xfId="0" applyNumberFormat="1" applyFont="1" applyFill="1" applyBorder="1" applyAlignment="1">
      <alignment horizontal="center"/>
    </xf>
    <xf numFmtId="165" fontId="8" fillId="11" borderId="0" xfId="0" applyNumberFormat="1" applyFont="1" applyFill="1" applyAlignment="1">
      <alignment horizontal="center"/>
    </xf>
    <xf numFmtId="165" fontId="8" fillId="11" borderId="40" xfId="0" applyNumberFormat="1" applyFont="1" applyFill="1" applyBorder="1" applyAlignment="1">
      <alignment horizontal="center"/>
    </xf>
    <xf numFmtId="0" fontId="17" fillId="0" borderId="36" xfId="31" applyFont="1" applyBorder="1" applyAlignment="1">
      <alignment horizontal="left" vertical="center"/>
    </xf>
    <xf numFmtId="0" fontId="17" fillId="0" borderId="1" xfId="31" applyFont="1" applyBorder="1" applyAlignment="1">
      <alignment horizontal="left" vertical="center"/>
    </xf>
    <xf numFmtId="0" fontId="17" fillId="0" borderId="2" xfId="31" applyFont="1" applyBorder="1" applyAlignment="1">
      <alignment horizontal="left" vertical="center"/>
    </xf>
    <xf numFmtId="0" fontId="50" fillId="29" borderId="3" xfId="0" applyFont="1" applyFill="1" applyBorder="1"/>
    <xf numFmtId="0" fontId="50" fillId="29" borderId="3" xfId="0" applyFont="1" applyFill="1" applyBorder="1" applyAlignment="1">
      <alignment horizontal="center"/>
    </xf>
    <xf numFmtId="0" fontId="50" fillId="0" borderId="0" xfId="0" applyFont="1"/>
    <xf numFmtId="0" fontId="0" fillId="30" borderId="3" xfId="0" applyFill="1" applyBorder="1"/>
    <xf numFmtId="0" fontId="0" fillId="30" borderId="3" xfId="0" applyFill="1" applyBorder="1" applyAlignment="1">
      <alignment horizontal="center"/>
    </xf>
    <xf numFmtId="0" fontId="49" fillId="0" borderId="0" xfId="0" applyFont="1" applyAlignment="1">
      <alignment horizontal="center"/>
    </xf>
    <xf numFmtId="0" fontId="50" fillId="28" borderId="3" xfId="0" applyFont="1" applyFill="1" applyBorder="1"/>
    <xf numFmtId="0" fontId="50" fillId="28" borderId="3" xfId="0" applyFont="1" applyFill="1" applyBorder="1" applyAlignment="1">
      <alignment horizontal="center"/>
    </xf>
    <xf numFmtId="0" fontId="0" fillId="31" borderId="3" xfId="0" applyFill="1" applyBorder="1"/>
    <xf numFmtId="0" fontId="0" fillId="31" borderId="3" xfId="0" applyFill="1" applyBorder="1" applyAlignment="1">
      <alignment horizontal="center"/>
    </xf>
    <xf numFmtId="0" fontId="0" fillId="28" borderId="3" xfId="0" applyFill="1" applyBorder="1" applyAlignment="1">
      <alignment horizontal="center"/>
    </xf>
    <xf numFmtId="0" fontId="47" fillId="30" borderId="3" xfId="25" applyFill="1" applyBorder="1"/>
    <xf numFmtId="0" fontId="49" fillId="30" borderId="3" xfId="25" applyFont="1" applyFill="1" applyBorder="1" applyAlignment="1">
      <alignment horizontal="center"/>
    </xf>
    <xf numFmtId="0" fontId="8" fillId="28" borderId="3" xfId="0" applyFont="1" applyFill="1" applyBorder="1" applyAlignment="1">
      <alignment horizontal="center"/>
    </xf>
    <xf numFmtId="0" fontId="8" fillId="30" borderId="3" xfId="0" applyFont="1" applyFill="1" applyBorder="1"/>
    <xf numFmtId="0" fontId="8" fillId="30" borderId="3" xfId="0" applyFont="1" applyFill="1" applyBorder="1" applyAlignment="1">
      <alignment horizontal="center"/>
    </xf>
    <xf numFmtId="0" fontId="0" fillId="25" borderId="0" xfId="0" applyFill="1"/>
    <xf numFmtId="0" fontId="47" fillId="28" borderId="3" xfId="25" applyFill="1" applyBorder="1" applyAlignment="1">
      <alignment horizontal="center"/>
    </xf>
    <xf numFmtId="0" fontId="24" fillId="0" borderId="0" xfId="27" applyFont="1" applyAlignment="1">
      <alignment vertical="center"/>
    </xf>
    <xf numFmtId="0" fontId="24" fillId="0" borderId="0" xfId="27" applyFont="1" applyAlignment="1">
      <alignment horizontal="center" vertical="center"/>
    </xf>
    <xf numFmtId="165" fontId="27" fillId="0" borderId="5" xfId="27" applyNumberFormat="1" applyFont="1" applyBorder="1" applyAlignment="1">
      <alignment horizontal="center" vertical="center"/>
    </xf>
    <xf numFmtId="0" fontId="27" fillId="0" borderId="6" xfId="27" applyFont="1" applyBorder="1" applyAlignment="1">
      <alignment horizontal="center" vertical="center"/>
    </xf>
    <xf numFmtId="0" fontId="29" fillId="0" borderId="6" xfId="27" applyFont="1" applyBorder="1" applyAlignment="1">
      <alignment horizontal="center" vertical="center"/>
    </xf>
    <xf numFmtId="165" fontId="27" fillId="0" borderId="6" xfId="27" applyNumberFormat="1" applyFont="1" applyBorder="1" applyAlignment="1">
      <alignment horizontal="center" vertical="center"/>
    </xf>
    <xf numFmtId="164" fontId="28" fillId="0" borderId="6" xfId="27" applyNumberFormat="1" applyFont="1" applyBorder="1" applyAlignment="1">
      <alignment horizontal="center" vertical="center"/>
    </xf>
    <xf numFmtId="9" fontId="24" fillId="0" borderId="6" xfId="34" applyFont="1" applyFill="1" applyBorder="1" applyAlignment="1">
      <alignment horizontal="center" vertical="center"/>
    </xf>
    <xf numFmtId="0" fontId="24" fillId="0" borderId="6" xfId="27" applyFont="1" applyBorder="1" applyAlignment="1">
      <alignment horizontal="center" vertical="center"/>
    </xf>
    <xf numFmtId="1" fontId="26" fillId="0" borderId="5" xfId="27" applyNumberFormat="1" applyFont="1" applyBorder="1" applyAlignment="1">
      <alignment horizontal="center" vertical="center"/>
    </xf>
    <xf numFmtId="0" fontId="20" fillId="0" borderId="7" xfId="27" applyFont="1" applyBorder="1" applyAlignment="1">
      <alignment vertical="center"/>
    </xf>
    <xf numFmtId="0" fontId="24" fillId="0" borderId="5" xfId="27" applyFont="1" applyBorder="1" applyAlignment="1">
      <alignment horizontal="center" vertical="center"/>
    </xf>
    <xf numFmtId="164" fontId="24" fillId="0" borderId="6" xfId="27" applyNumberFormat="1" applyFont="1" applyBorder="1" applyAlignment="1">
      <alignment horizontal="center" vertical="center"/>
    </xf>
    <xf numFmtId="0" fontId="25" fillId="0" borderId="6" xfId="27" applyFont="1" applyBorder="1" applyAlignment="1">
      <alignment horizontal="center" vertical="center"/>
    </xf>
    <xf numFmtId="2" fontId="24" fillId="0" borderId="4" xfId="27" applyNumberFormat="1" applyFont="1" applyBorder="1" applyAlignment="1">
      <alignment horizontal="center" vertical="center"/>
    </xf>
    <xf numFmtId="0" fontId="26" fillId="0" borderId="5" xfId="27" applyFont="1" applyBorder="1" applyAlignment="1">
      <alignment horizontal="center" vertical="center"/>
    </xf>
    <xf numFmtId="0" fontId="26" fillId="0" borderId="7" xfId="27" applyFont="1" applyBorder="1" applyAlignment="1">
      <alignment vertical="center"/>
    </xf>
    <xf numFmtId="0" fontId="20" fillId="4" borderId="6" xfId="26" applyFont="1" applyFill="1" applyBorder="1" applyAlignment="1">
      <alignment horizontal="center" vertical="center"/>
    </xf>
    <xf numFmtId="0" fontId="20" fillId="0" borderId="6" xfId="26" applyFont="1" applyBorder="1" applyAlignment="1">
      <alignment horizontal="center" vertical="center"/>
    </xf>
    <xf numFmtId="2" fontId="20" fillId="0" borderId="6" xfId="26" applyNumberFormat="1" applyFont="1" applyBorder="1" applyAlignment="1">
      <alignment horizontal="center" vertical="center"/>
    </xf>
    <xf numFmtId="0" fontId="21" fillId="0" borderId="6" xfId="26" applyFont="1" applyBorder="1" applyAlignment="1">
      <alignment horizontal="center" vertical="center"/>
    </xf>
    <xf numFmtId="0" fontId="21" fillId="0" borderId="4" xfId="26" applyFont="1" applyBorder="1" applyAlignment="1">
      <alignment horizontal="center" vertical="center"/>
    </xf>
    <xf numFmtId="0" fontId="22" fillId="0" borderId="5" xfId="26" applyFont="1" applyBorder="1" applyAlignment="1">
      <alignment horizontal="center" vertical="center"/>
    </xf>
    <xf numFmtId="0" fontId="22" fillId="0" borderId="7" xfId="26" applyFont="1" applyBorder="1" applyAlignment="1">
      <alignment vertical="center"/>
    </xf>
    <xf numFmtId="0" fontId="21" fillId="0" borderId="0" xfId="26" applyFont="1" applyAlignment="1">
      <alignment vertical="center"/>
    </xf>
    <xf numFmtId="0" fontId="21" fillId="0" borderId="0" xfId="26" applyFont="1" applyAlignment="1">
      <alignment horizontal="center" vertical="center"/>
    </xf>
    <xf numFmtId="1" fontId="21" fillId="0" borderId="6" xfId="26" applyNumberFormat="1" applyFont="1" applyBorder="1" applyAlignment="1">
      <alignment horizontal="center" vertical="center"/>
    </xf>
    <xf numFmtId="167" fontId="21" fillId="8" borderId="4" xfId="26" applyNumberFormat="1" applyFont="1" applyFill="1" applyBorder="1" applyAlignment="1">
      <alignment vertical="center"/>
    </xf>
    <xf numFmtId="0" fontId="24" fillId="8" borderId="5" xfId="27" applyFont="1" applyFill="1" applyBorder="1" applyAlignment="1">
      <alignment horizontal="center" vertical="center"/>
    </xf>
    <xf numFmtId="0" fontId="24" fillId="8" borderId="6" xfId="27" applyFont="1" applyFill="1" applyBorder="1" applyAlignment="1">
      <alignment horizontal="center" vertical="center"/>
    </xf>
    <xf numFmtId="164" fontId="24" fillId="8" borderId="6" xfId="27" applyNumberFormat="1" applyFont="1" applyFill="1" applyBorder="1" applyAlignment="1">
      <alignment horizontal="center" vertical="center"/>
    </xf>
    <xf numFmtId="0" fontId="25" fillId="8" borderId="6" xfId="27" applyFont="1" applyFill="1" applyBorder="1" applyAlignment="1">
      <alignment horizontal="center" vertical="center"/>
    </xf>
    <xf numFmtId="0" fontId="21" fillId="8" borderId="6" xfId="26" applyFont="1" applyFill="1" applyBorder="1" applyAlignment="1">
      <alignment horizontal="center" vertical="center"/>
    </xf>
    <xf numFmtId="0" fontId="21" fillId="8" borderId="4" xfId="26" applyFont="1" applyFill="1" applyBorder="1" applyAlignment="1">
      <alignment horizontal="center" vertical="center"/>
    </xf>
    <xf numFmtId="0" fontId="20" fillId="8" borderId="5" xfId="26" applyFont="1" applyFill="1" applyBorder="1" applyAlignment="1">
      <alignment horizontal="right" vertical="center"/>
    </xf>
    <xf numFmtId="0" fontId="20" fillId="8" borderId="7" xfId="26" applyFont="1" applyFill="1" applyBorder="1" applyAlignment="1">
      <alignment vertical="center"/>
    </xf>
    <xf numFmtId="167" fontId="21" fillId="0" borderId="4" xfId="26" applyNumberFormat="1" applyFont="1" applyBorder="1" applyAlignment="1">
      <alignment vertical="center"/>
    </xf>
    <xf numFmtId="0" fontId="20" fillId="0" borderId="4" xfId="27" applyFont="1" applyBorder="1" applyAlignment="1">
      <alignment vertical="center"/>
    </xf>
    <xf numFmtId="0" fontId="24" fillId="0" borderId="54" xfId="27" applyFont="1" applyBorder="1" applyAlignment="1">
      <alignment horizontal="center" vertical="center"/>
    </xf>
    <xf numFmtId="0" fontId="24" fillId="0" borderId="12" xfId="27" applyFont="1" applyBorder="1" applyAlignment="1">
      <alignment horizontal="center" vertical="center"/>
    </xf>
    <xf numFmtId="164" fontId="24" fillId="0" borderId="12" xfId="27" applyNumberFormat="1" applyFont="1" applyBorder="1" applyAlignment="1">
      <alignment horizontal="center" vertical="center"/>
    </xf>
    <xf numFmtId="0" fontId="25" fillId="0" borderId="12" xfId="27" applyFont="1" applyBorder="1" applyAlignment="1">
      <alignment horizontal="center" vertical="center"/>
    </xf>
    <xf numFmtId="2" fontId="24" fillId="0" borderId="30" xfId="27" applyNumberFormat="1" applyFont="1" applyBorder="1" applyAlignment="1">
      <alignment horizontal="center" vertical="center"/>
    </xf>
    <xf numFmtId="0" fontId="26" fillId="0" borderId="54" xfId="27" applyFont="1" applyBorder="1" applyAlignment="1">
      <alignment horizontal="center" vertical="center"/>
    </xf>
    <xf numFmtId="0" fontId="26" fillId="0" borderId="43" xfId="27" applyFont="1" applyBorder="1" applyAlignment="1">
      <alignment vertical="center"/>
    </xf>
    <xf numFmtId="0" fontId="29" fillId="8" borderId="6" xfId="27" applyFont="1" applyFill="1" applyBorder="1" applyAlignment="1">
      <alignment horizontal="center" vertical="center"/>
    </xf>
    <xf numFmtId="164" fontId="28" fillId="8" borderId="6" xfId="27" applyNumberFormat="1" applyFont="1" applyFill="1" applyBorder="1" applyAlignment="1">
      <alignment horizontal="center" vertical="center"/>
    </xf>
    <xf numFmtId="2" fontId="24" fillId="8" borderId="6" xfId="27" applyNumberFormat="1" applyFont="1" applyFill="1" applyBorder="1" applyAlignment="1">
      <alignment horizontal="center" vertical="center"/>
    </xf>
    <xf numFmtId="1" fontId="24" fillId="8" borderId="4" xfId="27" applyNumberFormat="1" applyFont="1" applyFill="1" applyBorder="1" applyAlignment="1">
      <alignment horizontal="center" vertical="center"/>
    </xf>
    <xf numFmtId="0" fontId="26" fillId="8" borderId="5" xfId="27" applyFont="1" applyFill="1" applyBorder="1" applyAlignment="1">
      <alignment horizontal="center" vertical="center"/>
    </xf>
    <xf numFmtId="0" fontId="26" fillId="8" borderId="7" xfId="27" applyFont="1" applyFill="1" applyBorder="1" applyAlignment="1">
      <alignment vertical="center"/>
    </xf>
    <xf numFmtId="0" fontId="21" fillId="27" borderId="6" xfId="27" applyFont="1" applyFill="1" applyBorder="1" applyAlignment="1">
      <alignment horizontal="center" vertical="center"/>
    </xf>
    <xf numFmtId="0" fontId="21" fillId="27" borderId="9" xfId="27" applyFont="1" applyFill="1" applyBorder="1" applyAlignment="1">
      <alignment horizontal="center" vertical="center"/>
    </xf>
    <xf numFmtId="0" fontId="21" fillId="7" borderId="10" xfId="27" applyFont="1" applyFill="1" applyBorder="1" applyAlignment="1">
      <alignment horizontal="center" vertical="center"/>
    </xf>
    <xf numFmtId="0" fontId="20" fillId="0" borderId="5" xfId="27" applyFont="1" applyBorder="1" applyAlignment="1">
      <alignment horizontal="center" vertical="center"/>
    </xf>
    <xf numFmtId="0" fontId="21" fillId="0" borderId="0" xfId="27" applyFont="1" applyAlignment="1">
      <alignment vertical="center"/>
    </xf>
    <xf numFmtId="0" fontId="21" fillId="0" borderId="0" xfId="27" applyFont="1" applyAlignment="1">
      <alignment horizontal="center" vertical="center"/>
    </xf>
    <xf numFmtId="9" fontId="21" fillId="25" borderId="6" xfId="34" applyFont="1" applyFill="1" applyBorder="1" applyAlignment="1">
      <alignment horizontal="center" vertical="center"/>
    </xf>
    <xf numFmtId="0" fontId="21" fillId="25" borderId="6" xfId="27" applyFont="1" applyFill="1" applyBorder="1" applyAlignment="1">
      <alignment horizontal="center" vertical="center"/>
    </xf>
    <xf numFmtId="2" fontId="21" fillId="25" borderId="6" xfId="27" applyNumberFormat="1" applyFont="1" applyFill="1" applyBorder="1" applyAlignment="1">
      <alignment horizontal="center" vertical="center"/>
    </xf>
    <xf numFmtId="1" fontId="21" fillId="25" borderId="6" xfId="27" applyNumberFormat="1" applyFont="1" applyFill="1" applyBorder="1" applyAlignment="1">
      <alignment horizontal="center" vertical="center"/>
    </xf>
    <xf numFmtId="1" fontId="21" fillId="25" borderId="4" xfId="27" applyNumberFormat="1" applyFont="1" applyFill="1" applyBorder="1" applyAlignment="1">
      <alignment horizontal="center" vertical="center"/>
    </xf>
    <xf numFmtId="1" fontId="20" fillId="0" borderId="5" xfId="27" applyNumberFormat="1" applyFont="1" applyBorder="1" applyAlignment="1">
      <alignment horizontal="center" vertical="center"/>
    </xf>
    <xf numFmtId="0" fontId="21" fillId="0" borderId="4" xfId="27" applyFont="1" applyBorder="1" applyAlignment="1">
      <alignment vertical="center"/>
    </xf>
    <xf numFmtId="0" fontId="21" fillId="0" borderId="6" xfId="27" applyFont="1" applyBorder="1" applyAlignment="1">
      <alignment horizontal="center" vertical="center"/>
    </xf>
    <xf numFmtId="164" fontId="21" fillId="0" borderId="6" xfId="27" applyNumberFormat="1" applyFont="1" applyBorder="1" applyAlignment="1">
      <alignment horizontal="center" vertical="center"/>
    </xf>
    <xf numFmtId="2" fontId="21" fillId="0" borderId="4" xfId="27" applyNumberFormat="1" applyFont="1" applyBorder="1" applyAlignment="1">
      <alignment horizontal="center" vertical="center"/>
    </xf>
    <xf numFmtId="165" fontId="27" fillId="8" borderId="5" xfId="27" applyNumberFormat="1" applyFont="1" applyFill="1" applyBorder="1" applyAlignment="1">
      <alignment horizontal="center" vertical="center"/>
    </xf>
    <xf numFmtId="9" fontId="24" fillId="8" borderId="6" xfId="34" applyFont="1" applyFill="1" applyBorder="1" applyAlignment="1">
      <alignment horizontal="center" vertical="center"/>
    </xf>
    <xf numFmtId="0" fontId="21" fillId="0" borderId="5" xfId="27" applyFont="1" applyBorder="1" applyAlignment="1">
      <alignment horizontal="center" vertical="center"/>
    </xf>
    <xf numFmtId="0" fontId="21" fillId="8" borderId="6" xfId="27" applyFont="1" applyFill="1" applyBorder="1" applyAlignment="1">
      <alignment horizontal="center" vertical="center"/>
    </xf>
    <xf numFmtId="0" fontId="20" fillId="7" borderId="10" xfId="27" applyFont="1" applyFill="1" applyBorder="1" applyAlignment="1">
      <alignment vertical="center"/>
    </xf>
    <xf numFmtId="0" fontId="24" fillId="2" borderId="0" xfId="27" applyFont="1" applyFill="1" applyAlignment="1">
      <alignment horizontal="left" vertical="center"/>
    </xf>
    <xf numFmtId="0" fontId="24" fillId="2" borderId="0" xfId="27" applyFont="1" applyFill="1" applyAlignment="1">
      <alignment vertical="center"/>
    </xf>
    <xf numFmtId="0" fontId="26" fillId="2" borderId="0" xfId="27" applyFont="1" applyFill="1" applyAlignment="1">
      <alignment vertical="center"/>
    </xf>
    <xf numFmtId="0" fontId="21" fillId="8" borderId="4" xfId="27" applyFont="1" applyFill="1" applyBorder="1" applyAlignment="1">
      <alignment vertical="center"/>
    </xf>
    <xf numFmtId="0" fontId="32" fillId="2" borderId="17" xfId="27" applyFont="1" applyFill="1" applyBorder="1" applyAlignment="1">
      <alignment horizontal="center" vertical="center"/>
    </xf>
    <xf numFmtId="0" fontId="32" fillId="2" borderId="18" xfId="27" applyFont="1" applyFill="1" applyBorder="1" applyAlignment="1">
      <alignment horizontal="center" vertical="center"/>
    </xf>
    <xf numFmtId="0" fontId="32" fillId="2" borderId="19" xfId="27" applyFont="1" applyFill="1" applyBorder="1" applyAlignment="1">
      <alignment horizontal="center" vertical="center"/>
    </xf>
    <xf numFmtId="0" fontId="21" fillId="0" borderId="25" xfId="27" applyFont="1" applyBorder="1" applyAlignment="1">
      <alignment vertical="center"/>
    </xf>
    <xf numFmtId="0" fontId="24" fillId="0" borderId="25" xfId="27" applyFont="1" applyBorder="1" applyAlignment="1">
      <alignment vertical="center"/>
    </xf>
    <xf numFmtId="0" fontId="26" fillId="0" borderId="25" xfId="27" applyFont="1" applyBorder="1" applyAlignment="1">
      <alignment vertical="center"/>
    </xf>
    <xf numFmtId="0" fontId="20" fillId="0" borderId="25" xfId="27" applyFont="1" applyBorder="1" applyAlignment="1">
      <alignment vertical="center"/>
    </xf>
    <xf numFmtId="0" fontId="26" fillId="7" borderId="47" xfId="27" applyFont="1" applyFill="1" applyBorder="1" applyAlignment="1">
      <alignment horizontal="left" vertical="center"/>
    </xf>
    <xf numFmtId="0" fontId="20" fillId="7" borderId="47" xfId="27" applyFont="1" applyFill="1" applyBorder="1" applyAlignment="1">
      <alignment horizontal="left" vertical="center"/>
    </xf>
    <xf numFmtId="0" fontId="21" fillId="2" borderId="0" xfId="27" applyFont="1" applyFill="1" applyAlignment="1">
      <alignment horizontal="left" vertical="center"/>
    </xf>
    <xf numFmtId="0" fontId="21" fillId="2" borderId="0" xfId="27" applyFont="1" applyFill="1" applyAlignment="1">
      <alignment vertical="center"/>
    </xf>
    <xf numFmtId="0" fontId="20" fillId="2" borderId="0" xfId="27" applyFont="1" applyFill="1" applyAlignment="1">
      <alignment vertical="center"/>
    </xf>
    <xf numFmtId="0" fontId="21" fillId="7" borderId="8" xfId="27" applyFont="1" applyFill="1" applyBorder="1" applyAlignment="1">
      <alignment horizontal="center" vertical="center"/>
    </xf>
    <xf numFmtId="0" fontId="20" fillId="7" borderId="8" xfId="27" applyFont="1" applyFill="1" applyBorder="1" applyAlignment="1">
      <alignment horizontal="center" vertical="center"/>
    </xf>
    <xf numFmtId="0" fontId="20" fillId="7" borderId="11" xfId="27" applyFont="1" applyFill="1" applyBorder="1" applyAlignment="1">
      <alignment vertical="center"/>
    </xf>
    <xf numFmtId="164" fontId="27" fillId="0" borderId="6" xfId="27" applyNumberFormat="1" applyFont="1" applyBorder="1" applyAlignment="1">
      <alignment horizontal="center" vertical="center"/>
    </xf>
    <xf numFmtId="9" fontId="21" fillId="0" borderId="6" xfId="34" applyFont="1" applyFill="1" applyBorder="1" applyAlignment="1">
      <alignment horizontal="center" vertical="center"/>
    </xf>
    <xf numFmtId="0" fontId="21" fillId="8" borderId="5" xfId="27" applyFont="1" applyFill="1" applyBorder="1" applyAlignment="1">
      <alignment horizontal="center" vertical="center"/>
    </xf>
    <xf numFmtId="164" fontId="27" fillId="8" borderId="6" xfId="27" applyNumberFormat="1" applyFont="1" applyFill="1" applyBorder="1" applyAlignment="1">
      <alignment horizontal="center" vertical="center"/>
    </xf>
    <xf numFmtId="1" fontId="21" fillId="8" borderId="6" xfId="27" applyNumberFormat="1" applyFont="1" applyFill="1" applyBorder="1" applyAlignment="1">
      <alignment horizontal="center" vertical="center"/>
    </xf>
    <xf numFmtId="2" fontId="21" fillId="8" borderId="6" xfId="27" applyNumberFormat="1" applyFont="1" applyFill="1" applyBorder="1" applyAlignment="1">
      <alignment horizontal="center" vertical="center"/>
    </xf>
    <xf numFmtId="1" fontId="21" fillId="8" borderId="4" xfId="27" applyNumberFormat="1" applyFont="1" applyFill="1" applyBorder="1" applyAlignment="1">
      <alignment horizontal="center" vertical="center"/>
    </xf>
    <xf numFmtId="0" fontId="20" fillId="8" borderId="5" xfId="27" applyFont="1" applyFill="1" applyBorder="1" applyAlignment="1">
      <alignment horizontal="center" vertical="center"/>
    </xf>
    <xf numFmtId="0" fontId="20" fillId="8" borderId="7" xfId="27" applyFont="1" applyFill="1" applyBorder="1" applyAlignment="1">
      <alignment vertical="center"/>
    </xf>
    <xf numFmtId="0" fontId="20" fillId="0" borderId="8" xfId="27" applyFont="1" applyBorder="1" applyAlignment="1">
      <alignment horizontal="center" vertical="center"/>
    </xf>
    <xf numFmtId="2" fontId="21" fillId="0" borderId="6" xfId="27" applyNumberFormat="1" applyFont="1" applyBorder="1" applyAlignment="1">
      <alignment horizontal="center" vertical="center"/>
    </xf>
    <xf numFmtId="1" fontId="21" fillId="0" borderId="4" xfId="27" applyNumberFormat="1" applyFont="1" applyBorder="1" applyAlignment="1">
      <alignment horizontal="center" vertical="center"/>
    </xf>
    <xf numFmtId="164" fontId="21" fillId="8" borderId="6" xfId="27" applyNumberFormat="1" applyFont="1" applyFill="1" applyBorder="1" applyAlignment="1">
      <alignment horizontal="center" vertical="center"/>
    </xf>
    <xf numFmtId="0" fontId="21" fillId="0" borderId="4" xfId="27" applyFont="1" applyBorder="1" applyAlignment="1">
      <alignment horizontal="center" vertical="center"/>
    </xf>
    <xf numFmtId="0" fontId="21" fillId="0" borderId="14" xfId="27" applyFont="1" applyBorder="1" applyAlignment="1">
      <alignment horizontal="center" vertical="center"/>
    </xf>
    <xf numFmtId="9" fontId="21" fillId="8" borderId="6" xfId="34" applyFont="1" applyFill="1" applyBorder="1" applyAlignment="1">
      <alignment horizontal="center" vertical="center"/>
    </xf>
    <xf numFmtId="0" fontId="21" fillId="4" borderId="6" xfId="27" applyFont="1" applyFill="1" applyBorder="1" applyAlignment="1">
      <alignment horizontal="center" vertical="center"/>
    </xf>
    <xf numFmtId="0" fontId="20" fillId="0" borderId="6" xfId="27" applyFont="1" applyBorder="1" applyAlignment="1">
      <alignment horizontal="center" vertical="center"/>
    </xf>
    <xf numFmtId="0" fontId="27" fillId="0" borderId="6" xfId="26" applyFont="1" applyBorder="1" applyAlignment="1">
      <alignment horizontal="center" vertical="center"/>
    </xf>
    <xf numFmtId="0" fontId="21" fillId="0" borderId="12" xfId="27" applyFont="1" applyBorder="1" applyAlignment="1">
      <alignment horizontal="center" vertical="center"/>
    </xf>
    <xf numFmtId="2" fontId="21" fillId="0" borderId="30" xfId="27" applyNumberFormat="1" applyFont="1" applyBorder="1" applyAlignment="1">
      <alignment horizontal="center" vertical="center"/>
    </xf>
    <xf numFmtId="0" fontId="20" fillId="0" borderId="14" xfId="27" applyFont="1" applyBorder="1" applyAlignment="1">
      <alignment horizontal="center" vertical="center"/>
    </xf>
    <xf numFmtId="0" fontId="26" fillId="7" borderId="44" xfId="27" applyFont="1" applyFill="1" applyBorder="1" applyAlignment="1">
      <alignment horizontal="left" vertical="center"/>
    </xf>
    <xf numFmtId="165" fontId="27" fillId="0" borderId="14" xfId="27" applyNumberFormat="1" applyFont="1" applyBorder="1" applyAlignment="1">
      <alignment horizontal="center" vertical="center"/>
    </xf>
    <xf numFmtId="0" fontId="26" fillId="7" borderId="24" xfId="27" applyFont="1" applyFill="1" applyBorder="1" applyAlignment="1">
      <alignment horizontal="left" vertical="center"/>
    </xf>
    <xf numFmtId="0" fontId="20" fillId="7" borderId="24" xfId="27" applyFont="1" applyFill="1" applyBorder="1" applyAlignment="1">
      <alignment horizontal="left" vertical="center"/>
    </xf>
    <xf numFmtId="0" fontId="20" fillId="7" borderId="44" xfId="26" applyFont="1" applyFill="1" applyBorder="1" applyAlignment="1">
      <alignment horizontal="left" vertical="center"/>
    </xf>
    <xf numFmtId="0" fontId="21" fillId="33" borderId="24" xfId="27" applyFont="1" applyFill="1" applyBorder="1" applyAlignment="1">
      <alignment horizontal="left" vertical="center"/>
    </xf>
    <xf numFmtId="0" fontId="20" fillId="34" borderId="24" xfId="26" applyFont="1" applyFill="1" applyBorder="1" applyAlignment="1">
      <alignment horizontal="left" vertical="center"/>
    </xf>
    <xf numFmtId="167" fontId="21" fillId="8" borderId="24" xfId="26" applyNumberFormat="1" applyFont="1" applyFill="1" applyBorder="1" applyAlignment="1">
      <alignment horizontal="left" vertical="center"/>
    </xf>
    <xf numFmtId="2" fontId="21" fillId="8" borderId="6" xfId="26" applyNumberFormat="1" applyFont="1" applyFill="1" applyBorder="1" applyAlignment="1">
      <alignment horizontal="center" vertical="center"/>
    </xf>
    <xf numFmtId="9" fontId="24" fillId="0" borderId="4" xfId="34" applyFont="1" applyFill="1" applyBorder="1" applyAlignment="1">
      <alignment horizontal="center" vertical="center"/>
    </xf>
    <xf numFmtId="1" fontId="24" fillId="0" borderId="25" xfId="27" applyNumberFormat="1" applyFont="1" applyBorder="1" applyAlignment="1">
      <alignment horizontal="center" vertical="center"/>
    </xf>
    <xf numFmtId="1" fontId="24" fillId="0" borderId="14" xfId="27" applyNumberFormat="1" applyFont="1" applyBorder="1" applyAlignment="1">
      <alignment horizontal="center" vertical="center"/>
    </xf>
    <xf numFmtId="1" fontId="24" fillId="34" borderId="24" xfId="27" applyNumberFormat="1" applyFont="1" applyFill="1" applyBorder="1" applyAlignment="1">
      <alignment horizontal="center" vertical="center"/>
    </xf>
    <xf numFmtId="0" fontId="24" fillId="34" borderId="24" xfId="27" applyFont="1" applyFill="1" applyBorder="1" applyAlignment="1">
      <alignment horizontal="center" vertical="center"/>
    </xf>
    <xf numFmtId="2" fontId="21" fillId="8" borderId="14" xfId="26" applyNumberFormat="1" applyFont="1" applyFill="1" applyBorder="1" applyAlignment="1">
      <alignment horizontal="center" vertical="center"/>
    </xf>
    <xf numFmtId="1" fontId="21" fillId="34" borderId="24" xfId="26" applyNumberFormat="1" applyFont="1" applyFill="1" applyBorder="1" applyAlignment="1">
      <alignment horizontal="center" vertical="center"/>
    </xf>
    <xf numFmtId="0" fontId="24" fillId="0" borderId="4" xfId="27" applyFont="1" applyBorder="1" applyAlignment="1">
      <alignment horizontal="center" vertical="center"/>
    </xf>
    <xf numFmtId="2" fontId="24" fillId="34" borderId="24" xfId="27" applyNumberFormat="1" applyFont="1" applyFill="1" applyBorder="1" applyAlignment="1">
      <alignment horizontal="center" vertical="center"/>
    </xf>
    <xf numFmtId="1" fontId="26" fillId="0" borderId="25" xfId="27" applyNumberFormat="1" applyFont="1" applyBorder="1" applyAlignment="1">
      <alignment horizontal="center" vertical="center"/>
    </xf>
    <xf numFmtId="0" fontId="20" fillId="34" borderId="24" xfId="27" applyFont="1" applyFill="1" applyBorder="1" applyAlignment="1">
      <alignment vertical="center"/>
    </xf>
    <xf numFmtId="0" fontId="20" fillId="7" borderId="44" xfId="27" applyFont="1" applyFill="1" applyBorder="1" applyAlignment="1">
      <alignment horizontal="left" vertical="center"/>
    </xf>
    <xf numFmtId="0" fontId="21" fillId="34" borderId="24" xfId="27" applyFont="1" applyFill="1" applyBorder="1" applyAlignment="1">
      <alignment horizontal="left" vertical="center"/>
    </xf>
    <xf numFmtId="1" fontId="21" fillId="34" borderId="24" xfId="27" applyNumberFormat="1" applyFont="1" applyFill="1" applyBorder="1" applyAlignment="1">
      <alignment horizontal="center" vertical="center"/>
    </xf>
    <xf numFmtId="1" fontId="20" fillId="0" borderId="14" xfId="27" applyNumberFormat="1" applyFont="1" applyBorder="1" applyAlignment="1">
      <alignment horizontal="center" vertical="center"/>
    </xf>
    <xf numFmtId="0" fontId="21" fillId="8" borderId="14" xfId="27" applyFont="1" applyFill="1" applyBorder="1" applyAlignment="1">
      <alignment horizontal="center" vertical="center"/>
    </xf>
    <xf numFmtId="1" fontId="21" fillId="0" borderId="25" xfId="27" applyNumberFormat="1" applyFont="1" applyBorder="1" applyAlignment="1">
      <alignment horizontal="center" vertical="center"/>
    </xf>
    <xf numFmtId="0" fontId="21" fillId="34" borderId="24" xfId="27" applyFont="1" applyFill="1" applyBorder="1" applyAlignment="1">
      <alignment horizontal="center" vertical="center"/>
    </xf>
    <xf numFmtId="0" fontId="8" fillId="0" borderId="1" xfId="0" applyFont="1" applyBorder="1" applyAlignment="1">
      <alignment horizontal="center"/>
    </xf>
    <xf numFmtId="0" fontId="26" fillId="35" borderId="25" xfId="27" applyFont="1" applyFill="1" applyBorder="1" applyAlignment="1">
      <alignment vertical="center"/>
    </xf>
    <xf numFmtId="0" fontId="24" fillId="35" borderId="5" xfId="27" applyFont="1" applyFill="1" applyBorder="1" applyAlignment="1">
      <alignment horizontal="center" vertical="center"/>
    </xf>
    <xf numFmtId="0" fontId="24" fillId="35" borderId="6" xfId="27" applyFont="1" applyFill="1" applyBorder="1" applyAlignment="1">
      <alignment horizontal="center" vertical="center"/>
    </xf>
    <xf numFmtId="0" fontId="24" fillId="35" borderId="4" xfId="27" applyFont="1" applyFill="1" applyBorder="1" applyAlignment="1">
      <alignment horizontal="center" vertical="center"/>
    </xf>
    <xf numFmtId="0" fontId="26" fillId="35" borderId="5" xfId="27" applyFont="1" applyFill="1" applyBorder="1" applyAlignment="1">
      <alignment horizontal="center" vertical="center"/>
    </xf>
    <xf numFmtId="0" fontId="26" fillId="35" borderId="7" xfId="27" applyFont="1" applyFill="1" applyBorder="1" applyAlignment="1">
      <alignment vertical="center"/>
    </xf>
    <xf numFmtId="0" fontId="26" fillId="35" borderId="47" xfId="27" applyFont="1" applyFill="1" applyBorder="1" applyAlignment="1">
      <alignment horizontal="left" vertical="center"/>
    </xf>
    <xf numFmtId="0" fontId="20" fillId="33" borderId="25" xfId="27" applyFont="1" applyFill="1" applyBorder="1" applyAlignment="1">
      <alignment vertical="center"/>
    </xf>
    <xf numFmtId="0" fontId="21" fillId="33" borderId="5" xfId="27" applyFont="1" applyFill="1" applyBorder="1" applyAlignment="1">
      <alignment horizontal="center" vertical="center"/>
    </xf>
    <xf numFmtId="0" fontId="21" fillId="33" borderId="6" xfId="27" applyFont="1" applyFill="1" applyBorder="1" applyAlignment="1">
      <alignment horizontal="center" vertical="center"/>
    </xf>
    <xf numFmtId="164" fontId="21" fillId="33" borderId="6" xfId="27" applyNumberFormat="1" applyFont="1" applyFill="1" applyBorder="1" applyAlignment="1">
      <alignment horizontal="center" vertical="center"/>
    </xf>
    <xf numFmtId="0" fontId="25" fillId="33" borderId="6" xfId="27" applyFont="1" applyFill="1" applyBorder="1" applyAlignment="1">
      <alignment horizontal="center" vertical="center"/>
    </xf>
    <xf numFmtId="0" fontId="21" fillId="33" borderId="9" xfId="27" applyFont="1" applyFill="1" applyBorder="1" applyAlignment="1">
      <alignment horizontal="center" vertical="center"/>
    </xf>
    <xf numFmtId="0" fontId="21" fillId="33" borderId="10" xfId="27" applyFont="1" applyFill="1" applyBorder="1" applyAlignment="1">
      <alignment horizontal="center" vertical="center"/>
    </xf>
    <xf numFmtId="0" fontId="20" fillId="33" borderId="5" xfId="27" applyFont="1" applyFill="1" applyBorder="1" applyAlignment="1">
      <alignment horizontal="center" vertical="center"/>
    </xf>
    <xf numFmtId="0" fontId="20" fillId="33" borderId="7" xfId="27" applyFont="1" applyFill="1" applyBorder="1" applyAlignment="1">
      <alignment vertical="center"/>
    </xf>
    <xf numFmtId="0" fontId="20" fillId="34" borderId="15" xfId="27" applyFont="1" applyFill="1" applyBorder="1" applyAlignment="1">
      <alignment vertical="center"/>
    </xf>
    <xf numFmtId="0" fontId="20" fillId="34" borderId="57" xfId="27" applyFont="1" applyFill="1" applyBorder="1" applyAlignment="1">
      <alignment vertical="center"/>
    </xf>
    <xf numFmtId="10" fontId="24" fillId="34" borderId="24" xfId="27" applyNumberFormat="1" applyFont="1" applyFill="1" applyBorder="1" applyAlignment="1">
      <alignment horizontal="center" vertical="center"/>
    </xf>
    <xf numFmtId="49" fontId="5" fillId="0" borderId="47" xfId="0" applyNumberFormat="1" applyFont="1" applyBorder="1" applyAlignment="1">
      <alignment horizontal="center"/>
    </xf>
    <xf numFmtId="165" fontId="5" fillId="11" borderId="0" xfId="0" applyNumberFormat="1" applyFont="1" applyFill="1" applyAlignment="1">
      <alignment horizontal="center"/>
    </xf>
    <xf numFmtId="0" fontId="5" fillId="0" borderId="44" xfId="0" applyFont="1" applyBorder="1" applyAlignment="1">
      <alignment horizontal="center"/>
    </xf>
    <xf numFmtId="0" fontId="5" fillId="0" borderId="0" xfId="0" applyFont="1" applyAlignment="1">
      <alignment horizontal="center"/>
    </xf>
    <xf numFmtId="0" fontId="5" fillId="28" borderId="3" xfId="0" applyFont="1" applyFill="1" applyBorder="1" applyAlignment="1">
      <alignment horizontal="center"/>
    </xf>
    <xf numFmtId="0" fontId="21" fillId="35" borderId="6" xfId="27" applyFont="1" applyFill="1" applyBorder="1" applyAlignment="1">
      <alignment horizontal="center" vertical="center"/>
    </xf>
    <xf numFmtId="164" fontId="21" fillId="0" borderId="5" xfId="27" applyNumberFormat="1" applyFont="1" applyBorder="1" applyAlignment="1">
      <alignment horizontal="center" vertical="center"/>
    </xf>
    <xf numFmtId="2" fontId="21" fillId="0" borderId="5" xfId="27" applyNumberFormat="1" applyFont="1" applyBorder="1" applyAlignment="1">
      <alignment horizontal="center" vertical="center"/>
    </xf>
    <xf numFmtId="0" fontId="21" fillId="27" borderId="14" xfId="27" applyFont="1" applyFill="1" applyBorder="1" applyAlignment="1">
      <alignment horizontal="center" vertical="center"/>
    </xf>
    <xf numFmtId="0" fontId="24" fillId="35" borderId="14" xfId="27" applyFont="1" applyFill="1" applyBorder="1" applyAlignment="1">
      <alignment horizontal="center" vertical="center"/>
    </xf>
    <xf numFmtId="0" fontId="21" fillId="0" borderId="26" xfId="27" applyFont="1" applyBorder="1" applyAlignment="1">
      <alignment vertical="center"/>
    </xf>
    <xf numFmtId="0" fontId="21" fillId="0" borderId="20" xfId="27" applyFont="1" applyBorder="1" applyAlignment="1">
      <alignment vertical="center"/>
    </xf>
    <xf numFmtId="0" fontId="5" fillId="30" borderId="3" xfId="0" applyFont="1" applyFill="1" applyBorder="1"/>
    <xf numFmtId="2" fontId="27" fillId="0" borderId="6" xfId="26" applyNumberFormat="1" applyFont="1" applyBorder="1" applyAlignment="1">
      <alignment horizontal="center" vertical="center"/>
    </xf>
    <xf numFmtId="0" fontId="20" fillId="26" borderId="24" xfId="27" applyFont="1" applyFill="1" applyBorder="1" applyAlignment="1">
      <alignment horizontal="center" vertical="center"/>
    </xf>
    <xf numFmtId="167" fontId="21" fillId="26" borderId="18" xfId="26" applyNumberFormat="1" applyFont="1" applyFill="1" applyBorder="1" applyAlignment="1">
      <alignment vertical="center"/>
    </xf>
    <xf numFmtId="0" fontId="21" fillId="26" borderId="18" xfId="27" applyFont="1" applyFill="1" applyBorder="1" applyAlignment="1">
      <alignment horizontal="center" vertical="center"/>
    </xf>
    <xf numFmtId="164" fontId="21" fillId="26" borderId="18" xfId="27" applyNumberFormat="1" applyFont="1" applyFill="1" applyBorder="1" applyAlignment="1">
      <alignment horizontal="center" vertical="center"/>
    </xf>
    <xf numFmtId="0" fontId="25" fillId="26" borderId="18" xfId="27" applyFont="1" applyFill="1" applyBorder="1" applyAlignment="1">
      <alignment horizontal="center" vertical="center"/>
    </xf>
    <xf numFmtId="0" fontId="21" fillId="26" borderId="18" xfId="26" applyFont="1" applyFill="1" applyBorder="1" applyAlignment="1">
      <alignment horizontal="center" vertical="center"/>
    </xf>
    <xf numFmtId="1" fontId="21" fillId="26" borderId="18" xfId="26" applyNumberFormat="1" applyFont="1" applyFill="1" applyBorder="1" applyAlignment="1">
      <alignment horizontal="center" vertical="center"/>
    </xf>
    <xf numFmtId="2" fontId="21" fillId="26" borderId="18" xfId="27" applyNumberFormat="1" applyFont="1" applyFill="1" applyBorder="1" applyAlignment="1">
      <alignment horizontal="center" vertical="center"/>
    </xf>
    <xf numFmtId="0" fontId="20" fillId="26" borderId="18" xfId="27" applyFont="1" applyFill="1" applyBorder="1" applyAlignment="1">
      <alignment horizontal="center" vertical="center"/>
    </xf>
    <xf numFmtId="0" fontId="20" fillId="26" borderId="19" xfId="27" applyFont="1" applyFill="1" applyBorder="1" applyAlignment="1">
      <alignment vertical="center"/>
    </xf>
    <xf numFmtId="0" fontId="0" fillId="0" borderId="3" xfId="0" applyBorder="1" applyAlignment="1">
      <alignment horizontal="center" vertical="center"/>
    </xf>
    <xf numFmtId="0" fontId="5" fillId="0" borderId="3" xfId="0" applyFont="1" applyBorder="1" applyAlignment="1">
      <alignment horizontal="center" vertical="center"/>
    </xf>
    <xf numFmtId="0" fontId="12" fillId="0" borderId="65" xfId="0" applyFont="1" applyBorder="1" applyAlignment="1">
      <alignment horizontal="center" vertical="center"/>
    </xf>
    <xf numFmtId="0" fontId="12" fillId="0" borderId="66" xfId="0" applyFont="1" applyBorder="1" applyAlignment="1">
      <alignment horizontal="center" vertical="center"/>
    </xf>
    <xf numFmtId="0" fontId="12" fillId="0" borderId="67" xfId="0" applyFont="1" applyBorder="1" applyAlignment="1">
      <alignment horizontal="center" vertical="center"/>
    </xf>
    <xf numFmtId="0" fontId="5" fillId="36" borderId="51" xfId="0" applyFont="1" applyFill="1" applyBorder="1" applyAlignment="1">
      <alignment horizontal="center" vertical="center"/>
    </xf>
    <xf numFmtId="0" fontId="5" fillId="0" borderId="52" xfId="0" applyFont="1" applyBorder="1" applyAlignment="1">
      <alignment horizontal="center" vertical="center"/>
    </xf>
    <xf numFmtId="1" fontId="0" fillId="32" borderId="53" xfId="0" applyNumberFormat="1" applyFill="1" applyBorder="1" applyAlignment="1">
      <alignment horizontal="center"/>
    </xf>
    <xf numFmtId="1" fontId="0" fillId="0" borderId="3" xfId="0" applyNumberFormat="1" applyBorder="1" applyAlignment="1">
      <alignment horizontal="center" vertical="center"/>
    </xf>
    <xf numFmtId="0" fontId="5" fillId="37" borderId="39" xfId="0" applyFont="1" applyFill="1" applyBorder="1" applyAlignment="1">
      <alignment horizontal="center" vertical="center"/>
    </xf>
    <xf numFmtId="0" fontId="0" fillId="37" borderId="55" xfId="0" applyFill="1" applyBorder="1" applyAlignment="1">
      <alignment horizontal="center" vertical="center"/>
    </xf>
    <xf numFmtId="0" fontId="21" fillId="0" borderId="3" xfId="27" applyFont="1" applyBorder="1" applyAlignment="1">
      <alignment horizontal="center" vertical="center"/>
    </xf>
    <xf numFmtId="164" fontId="53" fillId="0" borderId="6" xfId="27" applyNumberFormat="1" applyFont="1" applyBorder="1" applyAlignment="1">
      <alignment horizontal="center" vertical="center"/>
    </xf>
    <xf numFmtId="164" fontId="54" fillId="0" borderId="6" xfId="27" applyNumberFormat="1" applyFont="1" applyBorder="1" applyAlignment="1">
      <alignment horizontal="center" vertical="center"/>
    </xf>
    <xf numFmtId="164" fontId="55" fillId="0" borderId="6" xfId="27" applyNumberFormat="1" applyFont="1" applyBorder="1" applyAlignment="1">
      <alignment horizontal="center" vertical="center"/>
    </xf>
    <xf numFmtId="0" fontId="5" fillId="31" borderId="3" xfId="0" applyFont="1" applyFill="1" applyBorder="1"/>
    <xf numFmtId="0" fontId="20" fillId="34" borderId="16" xfId="26" applyFont="1" applyFill="1" applyBorder="1" applyAlignment="1">
      <alignment vertical="center"/>
    </xf>
    <xf numFmtId="0" fontId="20" fillId="34" borderId="69" xfId="26" applyFont="1" applyFill="1" applyBorder="1" applyAlignment="1">
      <alignment vertical="center"/>
    </xf>
    <xf numFmtId="2" fontId="21" fillId="0" borderId="25" xfId="27" applyNumberFormat="1" applyFont="1" applyBorder="1" applyAlignment="1">
      <alignment horizontal="center" vertical="center"/>
    </xf>
    <xf numFmtId="0" fontId="56" fillId="0" borderId="0" xfId="0" applyFont="1"/>
    <xf numFmtId="0" fontId="55" fillId="0" borderId="0" xfId="27" applyFont="1" applyAlignment="1">
      <alignment horizontal="center" vertical="center"/>
    </xf>
    <xf numFmtId="2" fontId="55" fillId="0" borderId="0" xfId="27" applyNumberFormat="1" applyFont="1" applyAlignment="1">
      <alignment horizontal="center" vertical="center"/>
    </xf>
    <xf numFmtId="164" fontId="21" fillId="8" borderId="4" xfId="27" applyNumberFormat="1" applyFont="1" applyFill="1" applyBorder="1" applyAlignment="1">
      <alignment horizontal="center" vertical="center"/>
    </xf>
    <xf numFmtId="0" fontId="5" fillId="0" borderId="51" xfId="0" applyFont="1" applyBorder="1"/>
    <xf numFmtId="0" fontId="5" fillId="0" borderId="3" xfId="0" applyFont="1" applyBorder="1"/>
    <xf numFmtId="0" fontId="5" fillId="0" borderId="3" xfId="0" applyFont="1" applyBorder="1" applyAlignment="1">
      <alignment horizontal="center"/>
    </xf>
    <xf numFmtId="1" fontId="0" fillId="0" borderId="0" xfId="0" applyNumberFormat="1"/>
    <xf numFmtId="2" fontId="0" fillId="0" borderId="0" xfId="0" applyNumberFormat="1"/>
    <xf numFmtId="0" fontId="5" fillId="39" borderId="0" xfId="0" applyFont="1" applyFill="1"/>
    <xf numFmtId="0" fontId="5" fillId="0" borderId="0" xfId="0" applyFont="1"/>
    <xf numFmtId="165" fontId="5" fillId="0" borderId="0" xfId="0" applyNumberFormat="1" applyFont="1" applyAlignment="1">
      <alignment horizontal="center"/>
    </xf>
    <xf numFmtId="2" fontId="49" fillId="0" borderId="0" xfId="0" applyNumberFormat="1" applyFont="1"/>
    <xf numFmtId="165" fontId="7" fillId="0" borderId="0" xfId="0" applyNumberFormat="1" applyFont="1" applyAlignment="1">
      <alignment horizontal="center"/>
    </xf>
    <xf numFmtId="0" fontId="0" fillId="39" borderId="0" xfId="0" applyFill="1"/>
    <xf numFmtId="0" fontId="7" fillId="0" borderId="3" xfId="0" applyFont="1" applyBorder="1" applyAlignment="1">
      <alignment horizontal="center"/>
    </xf>
    <xf numFmtId="165" fontId="59" fillId="0" borderId="0" xfId="0" applyNumberFormat="1" applyFont="1" applyAlignment="1">
      <alignment horizontal="center"/>
    </xf>
    <xf numFmtId="0" fontId="59" fillId="0" borderId="0" xfId="0" applyFont="1" applyAlignment="1">
      <alignment horizontal="center"/>
    </xf>
    <xf numFmtId="3" fontId="0" fillId="0" borderId="0" xfId="0" applyNumberFormat="1"/>
    <xf numFmtId="0" fontId="5" fillId="39" borderId="0" xfId="0" applyFont="1" applyFill="1" applyAlignment="1">
      <alignment horizontal="center"/>
    </xf>
    <xf numFmtId="0" fontId="45" fillId="26" borderId="17" xfId="0" applyFont="1" applyFill="1" applyBorder="1" applyAlignment="1">
      <alignment horizontal="center"/>
    </xf>
    <xf numFmtId="0" fontId="45" fillId="26" borderId="17" xfId="0" applyFont="1" applyFill="1" applyBorder="1" applyAlignment="1">
      <alignment horizontal="left"/>
    </xf>
    <xf numFmtId="0" fontId="45" fillId="26" borderId="48" xfId="0" applyFont="1" applyFill="1" applyBorder="1"/>
    <xf numFmtId="0" fontId="8" fillId="26" borderId="49" xfId="0" applyFont="1" applyFill="1" applyBorder="1"/>
    <xf numFmtId="0" fontId="34" fillId="0" borderId="23" xfId="0" applyFont="1" applyBorder="1" applyAlignment="1">
      <alignment horizontal="center" vertical="center" textRotation="90"/>
    </xf>
    <xf numFmtId="170" fontId="0" fillId="0" borderId="3" xfId="0" applyNumberFormat="1" applyBorder="1"/>
    <xf numFmtId="0" fontId="4" fillId="65" borderId="79" xfId="68" applyFill="1" applyBorder="1" applyAlignment="1">
      <alignment horizontal="center"/>
    </xf>
    <xf numFmtId="0" fontId="4" fillId="66" borderId="79" xfId="68" applyFill="1" applyBorder="1" applyAlignment="1">
      <alignment horizontal="center"/>
    </xf>
    <xf numFmtId="0" fontId="7" fillId="28" borderId="3" xfId="0" applyFont="1" applyFill="1" applyBorder="1" applyAlignment="1">
      <alignment horizontal="center"/>
    </xf>
    <xf numFmtId="0" fontId="0" fillId="36" borderId="3" xfId="0" applyFill="1" applyBorder="1" applyAlignment="1">
      <alignment horizontal="center"/>
    </xf>
    <xf numFmtId="0" fontId="0" fillId="68" borderId="3" xfId="0" applyFill="1" applyBorder="1" applyAlignment="1">
      <alignment horizontal="center"/>
    </xf>
    <xf numFmtId="0" fontId="8" fillId="0" borderId="3" xfId="0" applyFont="1" applyBorder="1" applyAlignment="1">
      <alignment horizontal="center"/>
    </xf>
    <xf numFmtId="0" fontId="7" fillId="26" borderId="22" xfId="0" applyFont="1" applyFill="1" applyBorder="1" applyAlignment="1">
      <alignment horizontal="center"/>
    </xf>
    <xf numFmtId="0" fontId="4" fillId="28" borderId="3" xfId="68" applyFill="1" applyBorder="1" applyAlignment="1">
      <alignment horizontal="center"/>
    </xf>
    <xf numFmtId="0" fontId="0" fillId="60" borderId="3" xfId="0" applyFill="1" applyBorder="1" applyAlignment="1">
      <alignment horizontal="center"/>
    </xf>
    <xf numFmtId="3" fontId="7" fillId="0" borderId="3" xfId="0" applyNumberFormat="1" applyFont="1" applyBorder="1"/>
    <xf numFmtId="0" fontId="0" fillId="38" borderId="3" xfId="0" applyFill="1" applyBorder="1" applyAlignment="1">
      <alignment horizontal="center"/>
    </xf>
    <xf numFmtId="1" fontId="5" fillId="28" borderId="3" xfId="0" applyNumberFormat="1" applyFont="1" applyFill="1" applyBorder="1"/>
    <xf numFmtId="1" fontId="0" fillId="28" borderId="3" xfId="0" applyNumberFormat="1" applyFill="1" applyBorder="1"/>
    <xf numFmtId="170" fontId="0" fillId="58" borderId="3" xfId="0" applyNumberFormat="1" applyFill="1" applyBorder="1"/>
    <xf numFmtId="0" fontId="45" fillId="26" borderId="21" xfId="0" applyFont="1" applyFill="1" applyBorder="1"/>
    <xf numFmtId="0" fontId="0" fillId="58" borderId="3" xfId="0" applyFill="1" applyBorder="1" applyAlignment="1">
      <alignment horizontal="center"/>
    </xf>
    <xf numFmtId="0" fontId="7" fillId="26" borderId="49" xfId="0" applyFont="1" applyFill="1" applyBorder="1" applyAlignment="1">
      <alignment horizontal="center"/>
    </xf>
    <xf numFmtId="3" fontId="0" fillId="0" borderId="3" xfId="0" applyNumberFormat="1" applyBorder="1"/>
    <xf numFmtId="0" fontId="45" fillId="26" borderId="48" xfId="0" applyFont="1" applyFill="1" applyBorder="1" applyAlignment="1">
      <alignment horizontal="left"/>
    </xf>
    <xf numFmtId="170" fontId="0" fillId="34" borderId="3" xfId="0" applyNumberFormat="1" applyFill="1" applyBorder="1"/>
    <xf numFmtId="0" fontId="7" fillId="0" borderId="3" xfId="0" applyFont="1" applyBorder="1" applyAlignment="1">
      <alignment horizontal="center" vertical="center"/>
    </xf>
    <xf numFmtId="0" fontId="7" fillId="58" borderId="3" xfId="0" applyFont="1" applyFill="1" applyBorder="1" applyAlignment="1">
      <alignment horizontal="center"/>
    </xf>
    <xf numFmtId="170" fontId="0" fillId="36" borderId="3" xfId="0" applyNumberFormat="1" applyFill="1" applyBorder="1"/>
    <xf numFmtId="0" fontId="0" fillId="34" borderId="3" xfId="0" applyFill="1" applyBorder="1" applyAlignment="1">
      <alignment horizontal="center"/>
    </xf>
    <xf numFmtId="0" fontId="5" fillId="28" borderId="3" xfId="0" applyFont="1" applyFill="1" applyBorder="1"/>
    <xf numFmtId="0" fontId="4" fillId="34" borderId="79" xfId="68" applyFill="1" applyBorder="1" applyAlignment="1">
      <alignment horizontal="center"/>
    </xf>
    <xf numFmtId="0" fontId="4" fillId="58" borderId="78" xfId="68" applyFill="1" applyBorder="1" applyAlignment="1">
      <alignment horizontal="center"/>
    </xf>
    <xf numFmtId="0" fontId="4" fillId="58" borderId="79" xfId="68" applyFill="1" applyBorder="1" applyAlignment="1">
      <alignment horizontal="center"/>
    </xf>
    <xf numFmtId="0" fontId="4" fillId="59" borderId="79" xfId="68" applyFill="1" applyBorder="1" applyAlignment="1">
      <alignment horizontal="center"/>
    </xf>
    <xf numFmtId="0" fontId="4" fillId="36" borderId="79" xfId="68" applyFill="1" applyBorder="1" applyAlignment="1">
      <alignment horizontal="center"/>
    </xf>
    <xf numFmtId="0" fontId="4" fillId="60" borderId="79" xfId="68" applyFill="1" applyBorder="1" applyAlignment="1">
      <alignment horizontal="center"/>
    </xf>
    <xf numFmtId="0" fontId="4" fillId="62" borderId="79" xfId="68" applyFill="1" applyBorder="1" applyAlignment="1">
      <alignment horizontal="center"/>
    </xf>
    <xf numFmtId="0" fontId="4" fillId="58" borderId="81" xfId="68" applyFill="1" applyBorder="1" applyAlignment="1">
      <alignment horizontal="center"/>
    </xf>
    <xf numFmtId="0" fontId="4" fillId="62" borderId="82" xfId="68" applyFill="1" applyBorder="1" applyAlignment="1">
      <alignment horizontal="center"/>
    </xf>
    <xf numFmtId="0" fontId="4" fillId="34" borderId="3" xfId="68" applyFill="1" applyBorder="1" applyAlignment="1">
      <alignment horizontal="center"/>
    </xf>
    <xf numFmtId="0" fontId="4" fillId="36" borderId="3" xfId="68" applyFill="1" applyBorder="1" applyAlignment="1">
      <alignment horizontal="center"/>
    </xf>
    <xf numFmtId="0" fontId="4" fillId="58" borderId="52" xfId="68" applyFill="1" applyBorder="1" applyAlignment="1">
      <alignment horizontal="center"/>
    </xf>
    <xf numFmtId="0" fontId="4" fillId="58" borderId="51" xfId="68" applyFill="1" applyBorder="1" applyAlignment="1">
      <alignment horizontal="center"/>
    </xf>
    <xf numFmtId="0" fontId="4" fillId="58" borderId="3" xfId="68" applyFill="1" applyBorder="1" applyAlignment="1">
      <alignment horizontal="center"/>
    </xf>
    <xf numFmtId="0" fontId="4" fillId="59" borderId="3" xfId="68" applyFill="1" applyBorder="1" applyAlignment="1">
      <alignment horizontal="center"/>
    </xf>
    <xf numFmtId="0" fontId="4" fillId="60" borderId="3" xfId="68" applyFill="1" applyBorder="1" applyAlignment="1">
      <alignment horizontal="center"/>
    </xf>
    <xf numFmtId="0" fontId="4" fillId="62" borderId="3" xfId="68" applyFill="1" applyBorder="1" applyAlignment="1">
      <alignment horizontal="center"/>
    </xf>
    <xf numFmtId="0" fontId="4" fillId="62" borderId="53" xfId="68" applyFill="1" applyBorder="1" applyAlignment="1">
      <alignment horizontal="center"/>
    </xf>
    <xf numFmtId="0" fontId="4" fillId="34" borderId="85" xfId="68" applyFill="1" applyBorder="1" applyAlignment="1">
      <alignment horizontal="center"/>
    </xf>
    <xf numFmtId="0" fontId="4" fillId="58" borderId="85" xfId="68" applyFill="1" applyBorder="1" applyAlignment="1">
      <alignment horizontal="center"/>
    </xf>
    <xf numFmtId="0" fontId="4" fillId="36" borderId="85" xfId="68" applyFill="1" applyBorder="1" applyAlignment="1">
      <alignment horizontal="center"/>
    </xf>
    <xf numFmtId="0" fontId="4" fillId="59" borderId="85" xfId="68" applyFill="1" applyBorder="1" applyAlignment="1">
      <alignment horizontal="center"/>
    </xf>
    <xf numFmtId="0" fontId="4" fillId="62" borderId="85" xfId="68" applyFill="1" applyBorder="1" applyAlignment="1">
      <alignment horizontal="center"/>
    </xf>
    <xf numFmtId="0" fontId="4" fillId="60" borderId="85" xfId="68" applyFill="1" applyBorder="1" applyAlignment="1">
      <alignment horizontal="center"/>
    </xf>
    <xf numFmtId="0" fontId="4" fillId="58" borderId="84" xfId="68" applyFill="1" applyBorder="1" applyAlignment="1">
      <alignment horizontal="center"/>
    </xf>
    <xf numFmtId="0" fontId="4" fillId="58" borderId="83" xfId="68" applyFill="1" applyBorder="1" applyAlignment="1">
      <alignment horizontal="center"/>
    </xf>
    <xf numFmtId="0" fontId="4" fillId="62" borderId="86" xfId="68" applyFill="1" applyBorder="1" applyAlignment="1">
      <alignment horizontal="center"/>
    </xf>
    <xf numFmtId="0" fontId="4" fillId="63" borderId="79" xfId="68" applyFill="1" applyBorder="1" applyAlignment="1">
      <alignment horizontal="center"/>
    </xf>
    <xf numFmtId="0" fontId="4" fillId="63" borderId="3" xfId="68" applyFill="1" applyBorder="1" applyAlignment="1">
      <alignment horizontal="center"/>
    </xf>
    <xf numFmtId="0" fontId="4" fillId="63" borderId="85" xfId="68" applyFill="1" applyBorder="1" applyAlignment="1">
      <alignment horizontal="center"/>
    </xf>
    <xf numFmtId="0" fontId="4" fillId="58" borderId="91" xfId="68" applyFill="1" applyBorder="1" applyAlignment="1">
      <alignment horizontal="center"/>
    </xf>
    <xf numFmtId="0" fontId="4" fillId="59" borderId="46" xfId="68" applyFill="1" applyBorder="1" applyAlignment="1">
      <alignment horizontal="center"/>
    </xf>
    <xf numFmtId="0" fontId="4" fillId="59" borderId="87" xfId="68" applyFill="1" applyBorder="1" applyAlignment="1">
      <alignment horizontal="center"/>
    </xf>
    <xf numFmtId="0" fontId="4" fillId="61" borderId="84" xfId="68" applyFill="1" applyBorder="1" applyAlignment="1">
      <alignment horizontal="center"/>
    </xf>
    <xf numFmtId="0" fontId="4" fillId="62" borderId="84" xfId="68" applyFill="1" applyBorder="1" applyAlignment="1">
      <alignment horizontal="center"/>
    </xf>
    <xf numFmtId="0" fontId="4" fillId="61" borderId="90" xfId="68" applyFill="1" applyBorder="1" applyAlignment="1">
      <alignment horizontal="center"/>
    </xf>
    <xf numFmtId="0" fontId="4" fillId="60" borderId="84" xfId="68" applyFill="1" applyBorder="1" applyAlignment="1">
      <alignment horizontal="center"/>
    </xf>
    <xf numFmtId="0" fontId="4" fillId="25" borderId="79" xfId="68" applyFill="1" applyBorder="1" applyAlignment="1">
      <alignment horizontal="center"/>
    </xf>
    <xf numFmtId="0" fontId="4" fillId="25" borderId="3" xfId="68" applyFill="1" applyBorder="1" applyAlignment="1">
      <alignment horizontal="center"/>
    </xf>
    <xf numFmtId="0" fontId="4" fillId="59" borderId="80" xfId="68" applyFill="1" applyBorder="1" applyAlignment="1">
      <alignment horizontal="center"/>
    </xf>
    <xf numFmtId="0" fontId="4" fillId="62" borderId="81" xfId="68" applyFill="1" applyBorder="1" applyAlignment="1">
      <alignment horizontal="center"/>
    </xf>
    <xf numFmtId="0" fontId="4" fillId="62" borderId="51" xfId="68" applyFill="1" applyBorder="1" applyAlignment="1">
      <alignment horizontal="center"/>
    </xf>
    <xf numFmtId="0" fontId="4" fillId="60" borderId="81" xfId="68" applyFill="1" applyBorder="1" applyAlignment="1">
      <alignment horizontal="center"/>
    </xf>
    <xf numFmtId="0" fontId="4" fillId="60" borderId="51" xfId="68" applyFill="1" applyBorder="1" applyAlignment="1">
      <alignment horizontal="center"/>
    </xf>
    <xf numFmtId="0" fontId="4" fillId="61" borderId="81" xfId="68" applyFill="1" applyBorder="1" applyAlignment="1">
      <alignment horizontal="center"/>
    </xf>
    <xf numFmtId="0" fontId="4" fillId="61" borderId="51" xfId="68" applyFill="1" applyBorder="1" applyAlignment="1">
      <alignment horizontal="center"/>
    </xf>
    <xf numFmtId="0" fontId="4" fillId="25" borderId="78" xfId="68" applyFill="1" applyBorder="1" applyAlignment="1">
      <alignment horizontal="center"/>
    </xf>
    <xf numFmtId="0" fontId="4" fillId="61" borderId="88" xfId="68" applyFill="1" applyBorder="1" applyAlignment="1">
      <alignment horizontal="center"/>
    </xf>
    <xf numFmtId="0" fontId="4" fillId="61" borderId="89" xfId="68" applyFill="1" applyBorder="1" applyAlignment="1">
      <alignment horizontal="center"/>
    </xf>
    <xf numFmtId="0" fontId="0" fillId="59" borderId="3" xfId="0" applyFill="1" applyBorder="1" applyAlignment="1">
      <alignment horizontal="center"/>
    </xf>
    <xf numFmtId="170" fontId="0" fillId="59" borderId="3" xfId="0" applyNumberFormat="1" applyFill="1" applyBorder="1"/>
    <xf numFmtId="0" fontId="0" fillId="62" borderId="3" xfId="0" applyFill="1" applyBorder="1" applyAlignment="1">
      <alignment horizontal="center"/>
    </xf>
    <xf numFmtId="170" fontId="0" fillId="62" borderId="3" xfId="0" applyNumberFormat="1" applyFill="1" applyBorder="1"/>
    <xf numFmtId="170" fontId="0" fillId="0" borderId="3" xfId="0" applyNumberFormat="1" applyBorder="1" applyAlignment="1">
      <alignment horizontal="center"/>
    </xf>
    <xf numFmtId="0" fontId="0" fillId="61" borderId="3" xfId="0" applyFill="1" applyBorder="1" applyAlignment="1">
      <alignment horizontal="center"/>
    </xf>
    <xf numFmtId="3" fontId="0" fillId="62" borderId="3" xfId="0" applyNumberFormat="1" applyFill="1" applyBorder="1" applyAlignment="1">
      <alignment horizontal="center"/>
    </xf>
    <xf numFmtId="170" fontId="0" fillId="62" borderId="3" xfId="0" applyNumberFormat="1" applyFill="1" applyBorder="1" applyAlignment="1">
      <alignment horizontal="center"/>
    </xf>
    <xf numFmtId="3" fontId="0" fillId="61" borderId="3" xfId="0" applyNumberFormat="1" applyFill="1" applyBorder="1" applyAlignment="1">
      <alignment horizontal="center"/>
    </xf>
    <xf numFmtId="170" fontId="0" fillId="61" borderId="3" xfId="0" applyNumberFormat="1" applyFill="1" applyBorder="1" applyAlignment="1">
      <alignment horizontal="center"/>
    </xf>
    <xf numFmtId="170" fontId="0" fillId="38" borderId="3" xfId="0" applyNumberFormat="1" applyFill="1" applyBorder="1"/>
    <xf numFmtId="0" fontId="45" fillId="26" borderId="48" xfId="0" applyFont="1" applyFill="1" applyBorder="1" applyAlignment="1">
      <alignment horizontal="center"/>
    </xf>
    <xf numFmtId="0" fontId="45" fillId="26" borderId="21" xfId="0" applyFont="1" applyFill="1" applyBorder="1" applyAlignment="1">
      <alignment horizontal="center"/>
    </xf>
    <xf numFmtId="0" fontId="7" fillId="34" borderId="3" xfId="0" applyFont="1" applyFill="1" applyBorder="1" applyAlignment="1">
      <alignment horizontal="center"/>
    </xf>
    <xf numFmtId="0" fontId="7" fillId="36" borderId="3" xfId="0" applyFont="1" applyFill="1" applyBorder="1" applyAlignment="1">
      <alignment horizontal="center"/>
    </xf>
    <xf numFmtId="0" fontId="7" fillId="59" borderId="3" xfId="0" applyFont="1" applyFill="1" applyBorder="1" applyAlignment="1">
      <alignment horizontal="center"/>
    </xf>
    <xf numFmtId="0" fontId="7" fillId="62" borderId="3" xfId="0" applyFont="1" applyFill="1" applyBorder="1" applyAlignment="1">
      <alignment horizontal="center"/>
    </xf>
    <xf numFmtId="0" fontId="4" fillId="67" borderId="3" xfId="68" applyFill="1" applyBorder="1" applyAlignment="1">
      <alignment horizontal="center"/>
    </xf>
    <xf numFmtId="0" fontId="4" fillId="64" borderId="3" xfId="68" applyFill="1" applyBorder="1" applyAlignment="1">
      <alignment horizontal="center"/>
    </xf>
    <xf numFmtId="0" fontId="4" fillId="66" borderId="3" xfId="68" applyFill="1" applyBorder="1" applyAlignment="1">
      <alignment horizontal="center"/>
    </xf>
    <xf numFmtId="0" fontId="8" fillId="58" borderId="44" xfId="0" applyFont="1" applyFill="1" applyBorder="1" applyAlignment="1">
      <alignment horizontal="center"/>
    </xf>
    <xf numFmtId="0" fontId="7" fillId="58" borderId="0" xfId="0" applyFont="1" applyFill="1" applyAlignment="1">
      <alignment horizontal="center"/>
    </xf>
    <xf numFmtId="0" fontId="8" fillId="25" borderId="44" xfId="0" applyFont="1" applyFill="1" applyBorder="1" applyAlignment="1">
      <alignment horizontal="center"/>
    </xf>
    <xf numFmtId="0" fontId="7" fillId="25" borderId="0" xfId="0" applyFont="1" applyFill="1" applyAlignment="1">
      <alignment horizontal="center"/>
    </xf>
    <xf numFmtId="0" fontId="8" fillId="34" borderId="44" xfId="0" applyFont="1" applyFill="1" applyBorder="1" applyAlignment="1">
      <alignment horizontal="center"/>
    </xf>
    <xf numFmtId="0" fontId="7" fillId="34" borderId="0" xfId="0" applyFont="1" applyFill="1" applyAlignment="1">
      <alignment horizontal="center"/>
    </xf>
    <xf numFmtId="0" fontId="8" fillId="36" borderId="44" xfId="0" applyFont="1" applyFill="1" applyBorder="1" applyAlignment="1">
      <alignment horizontal="center"/>
    </xf>
    <xf numFmtId="0" fontId="7" fillId="36" borderId="0" xfId="0" applyFont="1" applyFill="1" applyAlignment="1">
      <alignment horizontal="center"/>
    </xf>
    <xf numFmtId="0" fontId="7" fillId="28" borderId="0" xfId="0" applyFont="1" applyFill="1" applyAlignment="1">
      <alignment horizontal="center"/>
    </xf>
    <xf numFmtId="0" fontId="8" fillId="59" borderId="44" xfId="0" applyFont="1" applyFill="1" applyBorder="1" applyAlignment="1">
      <alignment horizontal="center"/>
    </xf>
    <xf numFmtId="0" fontId="7" fillId="59" borderId="0" xfId="0" applyFont="1" applyFill="1" applyAlignment="1">
      <alignment horizontal="center"/>
    </xf>
    <xf numFmtId="0" fontId="8" fillId="68" borderId="44" xfId="0" applyFont="1" applyFill="1" applyBorder="1" applyAlignment="1">
      <alignment horizontal="center"/>
    </xf>
    <xf numFmtId="0" fontId="7" fillId="68" borderId="0" xfId="0" applyFont="1" applyFill="1" applyAlignment="1">
      <alignment horizontal="center"/>
    </xf>
    <xf numFmtId="0" fontId="8" fillId="62" borderId="44" xfId="0" applyFont="1" applyFill="1" applyBorder="1" applyAlignment="1">
      <alignment horizontal="center"/>
    </xf>
    <xf numFmtId="0" fontId="7" fillId="62" borderId="0" xfId="0" applyFont="1" applyFill="1" applyAlignment="1">
      <alignment horizontal="center"/>
    </xf>
    <xf numFmtId="0" fontId="8" fillId="38" borderId="44" xfId="0" applyFont="1" applyFill="1" applyBorder="1" applyAlignment="1">
      <alignment horizontal="center"/>
    </xf>
    <xf numFmtId="0" fontId="7" fillId="38" borderId="0" xfId="0" applyFont="1" applyFill="1" applyAlignment="1">
      <alignment horizontal="center"/>
    </xf>
    <xf numFmtId="0" fontId="8" fillId="60" borderId="44" xfId="0" applyFont="1" applyFill="1" applyBorder="1" applyAlignment="1">
      <alignment horizontal="center"/>
    </xf>
    <xf numFmtId="0" fontId="7" fillId="60" borderId="0" xfId="0" applyFont="1" applyFill="1" applyAlignment="1">
      <alignment horizontal="center"/>
    </xf>
    <xf numFmtId="0" fontId="8" fillId="61" borderId="44" xfId="0" applyFont="1" applyFill="1" applyBorder="1" applyAlignment="1">
      <alignment horizontal="center"/>
    </xf>
    <xf numFmtId="0" fontId="7" fillId="61" borderId="0" xfId="0" applyFont="1" applyFill="1" applyAlignment="1">
      <alignment horizontal="center"/>
    </xf>
    <xf numFmtId="165" fontId="31" fillId="25" borderId="16" xfId="0" applyNumberFormat="1" applyFont="1" applyFill="1" applyBorder="1" applyAlignment="1">
      <alignment horizontal="center"/>
    </xf>
    <xf numFmtId="165" fontId="31" fillId="25" borderId="47" xfId="0" applyNumberFormat="1" applyFont="1" applyFill="1" applyBorder="1" applyAlignment="1">
      <alignment horizontal="center"/>
    </xf>
    <xf numFmtId="165" fontId="31" fillId="25" borderId="20" xfId="0" applyNumberFormat="1" applyFont="1" applyFill="1" applyBorder="1" applyAlignment="1">
      <alignment horizontal="center"/>
    </xf>
    <xf numFmtId="0" fontId="0" fillId="34" borderId="3" xfId="0" applyFill="1" applyBorder="1"/>
    <xf numFmtId="0" fontId="0" fillId="69" borderId="3" xfId="0" applyFill="1" applyBorder="1"/>
    <xf numFmtId="0" fontId="0" fillId="69" borderId="3" xfId="0" applyFill="1" applyBorder="1" applyAlignment="1">
      <alignment horizontal="center"/>
    </xf>
    <xf numFmtId="0" fontId="5" fillId="36" borderId="3" xfId="0" applyFont="1" applyFill="1" applyBorder="1"/>
    <xf numFmtId="0" fontId="0" fillId="36" borderId="3" xfId="0" applyFill="1" applyBorder="1"/>
    <xf numFmtId="0" fontId="5" fillId="68" borderId="3" xfId="0" applyFont="1" applyFill="1" applyBorder="1"/>
    <xf numFmtId="0" fontId="0" fillId="68" borderId="3" xfId="0" applyFill="1" applyBorder="1"/>
    <xf numFmtId="0" fontId="0" fillId="59" borderId="3" xfId="0" applyFill="1" applyBorder="1"/>
    <xf numFmtId="0" fontId="0" fillId="62" borderId="3" xfId="0" applyFill="1" applyBorder="1"/>
    <xf numFmtId="0" fontId="5" fillId="58" borderId="3" xfId="0" applyFont="1" applyFill="1" applyBorder="1" applyAlignment="1">
      <alignment horizontal="center"/>
    </xf>
    <xf numFmtId="0" fontId="21" fillId="8" borderId="8" xfId="27" applyFont="1" applyFill="1" applyBorder="1" applyAlignment="1">
      <alignment horizontal="center" vertical="center"/>
    </xf>
    <xf numFmtId="0" fontId="21" fillId="0" borderId="8" xfId="27" applyFont="1" applyBorder="1" applyAlignment="1">
      <alignment horizontal="center" vertical="center"/>
    </xf>
    <xf numFmtId="0" fontId="20" fillId="0" borderId="15" xfId="27" applyFont="1" applyBorder="1" applyAlignment="1">
      <alignment vertical="center"/>
    </xf>
    <xf numFmtId="0" fontId="20" fillId="0" borderId="26" xfId="27" applyFont="1" applyBorder="1" applyAlignment="1">
      <alignment vertical="center"/>
    </xf>
    <xf numFmtId="0" fontId="20" fillId="0" borderId="20" xfId="27" applyFont="1" applyBorder="1" applyAlignment="1">
      <alignment vertical="center"/>
    </xf>
    <xf numFmtId="0" fontId="26" fillId="35" borderId="47" xfId="27" applyFont="1" applyFill="1" applyBorder="1" applyAlignment="1">
      <alignment vertical="center"/>
    </xf>
    <xf numFmtId="170" fontId="0" fillId="0" borderId="0" xfId="0" applyNumberFormat="1"/>
    <xf numFmtId="164" fontId="7" fillId="0" borderId="0" xfId="0" applyNumberFormat="1" applyFont="1" applyAlignment="1">
      <alignment horizontal="center"/>
    </xf>
    <xf numFmtId="0" fontId="59" fillId="0" borderId="3" xfId="0" applyFont="1" applyBorder="1"/>
    <xf numFmtId="0" fontId="21" fillId="36" borderId="28" xfId="27" applyFont="1" applyFill="1" applyBorder="1" applyAlignment="1">
      <alignment horizontal="center" vertical="center"/>
    </xf>
    <xf numFmtId="0" fontId="29" fillId="36" borderId="28" xfId="27" applyFont="1" applyFill="1" applyBorder="1" applyAlignment="1">
      <alignment horizontal="center" vertical="center"/>
    </xf>
    <xf numFmtId="2" fontId="21" fillId="36" borderId="28" xfId="27" applyNumberFormat="1" applyFont="1" applyFill="1" applyBorder="1" applyAlignment="1">
      <alignment horizontal="center" vertical="center"/>
    </xf>
    <xf numFmtId="0" fontId="24" fillId="34" borderId="20" xfId="27" applyFont="1" applyFill="1" applyBorder="1" applyAlignment="1">
      <alignment horizontal="center" vertical="center"/>
    </xf>
    <xf numFmtId="0" fontId="20" fillId="34" borderId="20" xfId="27" applyFont="1" applyFill="1" applyBorder="1" applyAlignment="1">
      <alignment vertical="center"/>
    </xf>
    <xf numFmtId="0" fontId="26" fillId="35" borderId="24" xfId="27" applyFont="1" applyFill="1" applyBorder="1" applyAlignment="1">
      <alignment vertical="center"/>
    </xf>
    <xf numFmtId="0" fontId="24" fillId="35" borderId="93" xfId="27" applyFont="1" applyFill="1" applyBorder="1" applyAlignment="1">
      <alignment horizontal="center" vertical="center"/>
    </xf>
    <xf numFmtId="0" fontId="24" fillId="35" borderId="94" xfId="27" applyFont="1" applyFill="1" applyBorder="1" applyAlignment="1">
      <alignment horizontal="center" vertical="center"/>
    </xf>
    <xf numFmtId="0" fontId="21" fillId="35" borderId="94" xfId="27" applyFont="1" applyFill="1" applyBorder="1" applyAlignment="1">
      <alignment horizontal="center" vertical="center"/>
    </xf>
    <xf numFmtId="0" fontId="24" fillId="35" borderId="95" xfId="27" applyFont="1" applyFill="1" applyBorder="1" applyAlignment="1">
      <alignment horizontal="center" vertical="center"/>
    </xf>
    <xf numFmtId="0" fontId="26" fillId="35" borderId="96" xfId="27" applyFont="1" applyFill="1" applyBorder="1" applyAlignment="1">
      <alignment horizontal="center" vertical="center"/>
    </xf>
    <xf numFmtId="0" fontId="26" fillId="35" borderId="97" xfId="27" applyFont="1" applyFill="1" applyBorder="1" applyAlignment="1">
      <alignment vertical="center"/>
    </xf>
    <xf numFmtId="0" fontId="21" fillId="3" borderId="68" xfId="27" applyFont="1" applyFill="1" applyBorder="1" applyAlignment="1">
      <alignment vertical="center"/>
    </xf>
    <xf numFmtId="0" fontId="21" fillId="3" borderId="27" xfId="27" applyFont="1" applyFill="1" applyBorder="1" applyAlignment="1">
      <alignment vertical="center"/>
    </xf>
    <xf numFmtId="0" fontId="21" fillId="0" borderId="44" xfId="27" applyFont="1" applyBorder="1" applyAlignment="1">
      <alignment vertical="center"/>
    </xf>
    <xf numFmtId="0" fontId="21" fillId="3" borderId="98" xfId="27" applyFont="1" applyFill="1" applyBorder="1" applyAlignment="1">
      <alignment vertical="center"/>
    </xf>
    <xf numFmtId="0" fontId="21" fillId="3" borderId="99" xfId="27" applyFont="1" applyFill="1" applyBorder="1" applyAlignment="1">
      <alignment vertical="center"/>
    </xf>
    <xf numFmtId="0" fontId="20" fillId="7" borderId="4" xfId="27" applyFont="1" applyFill="1" applyBorder="1" applyAlignment="1">
      <alignment vertical="center"/>
    </xf>
    <xf numFmtId="0" fontId="21" fillId="7" borderId="5" xfId="27" applyFont="1" applyFill="1" applyBorder="1" applyAlignment="1">
      <alignment horizontal="center" vertical="center"/>
    </xf>
    <xf numFmtId="0" fontId="21" fillId="7" borderId="4" xfId="27" applyFont="1" applyFill="1" applyBorder="1" applyAlignment="1">
      <alignment horizontal="center" vertical="center"/>
    </xf>
    <xf numFmtId="0" fontId="20" fillId="7" borderId="5" xfId="27" applyFont="1" applyFill="1" applyBorder="1" applyAlignment="1">
      <alignment horizontal="center" vertical="center"/>
    </xf>
    <xf numFmtId="0" fontId="20" fillId="7" borderId="7" xfId="27" applyFont="1" applyFill="1" applyBorder="1" applyAlignment="1">
      <alignment vertical="center"/>
    </xf>
    <xf numFmtId="49" fontId="5" fillId="28" borderId="47" xfId="0" applyNumberFormat="1" applyFont="1" applyFill="1" applyBorder="1" applyAlignment="1">
      <alignment horizontal="center"/>
    </xf>
    <xf numFmtId="0" fontId="8" fillId="28" borderId="44" xfId="0" applyFont="1" applyFill="1" applyBorder="1" applyAlignment="1">
      <alignment horizontal="center"/>
    </xf>
    <xf numFmtId="165" fontId="30" fillId="28" borderId="0" xfId="0" applyNumberFormat="1" applyFont="1" applyFill="1" applyAlignment="1">
      <alignment horizontal="center"/>
    </xf>
    <xf numFmtId="0" fontId="7" fillId="0" borderId="3" xfId="0" applyFont="1" applyBorder="1" applyAlignment="1">
      <alignment horizontal="right"/>
    </xf>
    <xf numFmtId="170" fontId="0" fillId="58" borderId="3" xfId="0" applyNumberFormat="1" applyFill="1" applyBorder="1" applyAlignment="1">
      <alignment horizontal="right"/>
    </xf>
    <xf numFmtId="170" fontId="0" fillId="34" borderId="3" xfId="0" applyNumberFormat="1" applyFill="1" applyBorder="1" applyAlignment="1">
      <alignment horizontal="right"/>
    </xf>
    <xf numFmtId="0" fontId="0" fillId="36" borderId="3" xfId="0" applyFill="1" applyBorder="1" applyAlignment="1">
      <alignment horizontal="right"/>
    </xf>
    <xf numFmtId="0" fontId="7" fillId="36" borderId="3" xfId="0" applyFont="1" applyFill="1" applyBorder="1" applyAlignment="1">
      <alignment horizontal="right"/>
    </xf>
    <xf numFmtId="170" fontId="0" fillId="59" borderId="3" xfId="0" applyNumberFormat="1" applyFill="1" applyBorder="1" applyAlignment="1">
      <alignment horizontal="right"/>
    </xf>
    <xf numFmtId="170" fontId="0" fillId="62" borderId="3" xfId="0" applyNumberFormat="1" applyFill="1" applyBorder="1" applyAlignment="1">
      <alignment horizontal="right"/>
    </xf>
    <xf numFmtId="0" fontId="5" fillId="70" borderId="3" xfId="0" applyFont="1" applyFill="1" applyBorder="1" applyAlignment="1">
      <alignment horizontal="center"/>
    </xf>
    <xf numFmtId="0" fontId="7" fillId="70" borderId="3" xfId="0" applyFont="1" applyFill="1" applyBorder="1" applyAlignment="1">
      <alignment horizontal="center"/>
    </xf>
    <xf numFmtId="0" fontId="7" fillId="70" borderId="3" xfId="0" applyFont="1" applyFill="1" applyBorder="1" applyAlignment="1">
      <alignment horizontal="right"/>
    </xf>
    <xf numFmtId="0" fontId="5" fillId="68" borderId="3" xfId="0" applyFont="1" applyFill="1" applyBorder="1" applyAlignment="1">
      <alignment horizontal="center"/>
    </xf>
    <xf numFmtId="0" fontId="7" fillId="68" borderId="3" xfId="0" applyFont="1" applyFill="1" applyBorder="1" applyAlignment="1">
      <alignment horizontal="center"/>
    </xf>
    <xf numFmtId="0" fontId="7" fillId="68" borderId="3" xfId="0" applyFont="1" applyFill="1" applyBorder="1" applyAlignment="1">
      <alignment horizontal="right"/>
    </xf>
    <xf numFmtId="0" fontId="5" fillId="38" borderId="3" xfId="0" applyFont="1" applyFill="1" applyBorder="1" applyAlignment="1">
      <alignment horizontal="center"/>
    </xf>
    <xf numFmtId="0" fontId="7" fillId="38" borderId="3" xfId="0" applyFont="1" applyFill="1" applyBorder="1" applyAlignment="1">
      <alignment horizontal="center"/>
    </xf>
    <xf numFmtId="0" fontId="7" fillId="38" borderId="3" xfId="0" applyFont="1" applyFill="1" applyBorder="1" applyAlignment="1">
      <alignment horizontal="right"/>
    </xf>
    <xf numFmtId="0" fontId="5" fillId="60" borderId="3" xfId="0" applyFont="1" applyFill="1" applyBorder="1" applyAlignment="1">
      <alignment horizontal="center"/>
    </xf>
    <xf numFmtId="0" fontId="7" fillId="60" borderId="3" xfId="0" applyFont="1" applyFill="1" applyBorder="1" applyAlignment="1">
      <alignment horizontal="center"/>
    </xf>
    <xf numFmtId="0" fontId="7" fillId="60" borderId="3" xfId="0" applyFont="1" applyFill="1" applyBorder="1" applyAlignment="1">
      <alignment horizontal="right"/>
    </xf>
    <xf numFmtId="2" fontId="5" fillId="0" borderId="0" xfId="0" applyNumberFormat="1" applyFont="1" applyAlignment="1">
      <alignment horizontal="center"/>
    </xf>
    <xf numFmtId="0" fontId="5" fillId="0" borderId="44" xfId="0" quotePrefix="1" applyFont="1" applyBorder="1" applyAlignment="1">
      <alignment horizontal="center"/>
    </xf>
    <xf numFmtId="17" fontId="5" fillId="0" borderId="44" xfId="0" applyNumberFormat="1" applyFont="1" applyBorder="1" applyAlignment="1">
      <alignment horizontal="center"/>
    </xf>
    <xf numFmtId="17" fontId="5" fillId="0" borderId="44" xfId="0" quotePrefix="1" applyNumberFormat="1" applyFont="1" applyBorder="1" applyAlignment="1">
      <alignment horizontal="center"/>
    </xf>
    <xf numFmtId="0" fontId="5" fillId="0" borderId="48" xfId="0" applyFont="1" applyBorder="1" applyAlignment="1">
      <alignment horizontal="center"/>
    </xf>
    <xf numFmtId="0" fontId="5" fillId="0" borderId="21" xfId="0" applyFont="1" applyBorder="1" applyAlignment="1">
      <alignment horizontal="center"/>
    </xf>
    <xf numFmtId="0" fontId="4" fillId="71" borderId="79" xfId="68" applyFill="1" applyBorder="1" applyAlignment="1">
      <alignment horizontal="center"/>
    </xf>
    <xf numFmtId="0" fontId="4" fillId="71" borderId="3" xfId="68" applyFill="1" applyBorder="1" applyAlignment="1">
      <alignment horizontal="center"/>
    </xf>
    <xf numFmtId="0" fontId="4" fillId="71" borderId="85" xfId="68" applyFill="1" applyBorder="1" applyAlignment="1">
      <alignment horizontal="center"/>
    </xf>
    <xf numFmtId="0" fontId="3" fillId="71" borderId="79" xfId="68" applyFont="1" applyFill="1" applyBorder="1" applyAlignment="1">
      <alignment horizontal="center"/>
    </xf>
    <xf numFmtId="0" fontId="4" fillId="27" borderId="81" xfId="68" applyFill="1" applyBorder="1" applyAlignment="1">
      <alignment horizontal="center"/>
    </xf>
    <xf numFmtId="0" fontId="4" fillId="27" borderId="51" xfId="68" applyFill="1" applyBorder="1" applyAlignment="1">
      <alignment horizontal="center"/>
    </xf>
    <xf numFmtId="0" fontId="4" fillId="27" borderId="84" xfId="68" applyFill="1" applyBorder="1" applyAlignment="1">
      <alignment horizontal="center"/>
    </xf>
    <xf numFmtId="0" fontId="4" fillId="27" borderId="79" xfId="68" applyFill="1" applyBorder="1" applyAlignment="1">
      <alignment horizontal="center"/>
    </xf>
    <xf numFmtId="0" fontId="4" fillId="27" borderId="3" xfId="68" applyFill="1" applyBorder="1" applyAlignment="1">
      <alignment horizontal="center"/>
    </xf>
    <xf numFmtId="0" fontId="4" fillId="27" borderId="85" xfId="68" applyFill="1" applyBorder="1" applyAlignment="1">
      <alignment horizontal="center"/>
    </xf>
    <xf numFmtId="0" fontId="4" fillId="39" borderId="81" xfId="68" applyFill="1" applyBorder="1" applyAlignment="1">
      <alignment horizontal="center"/>
    </xf>
    <xf numFmtId="0" fontId="4" fillId="39" borderId="51" xfId="68" applyFill="1" applyBorder="1" applyAlignment="1">
      <alignment horizontal="center"/>
    </xf>
    <xf numFmtId="0" fontId="4" fillId="39" borderId="84" xfId="68" applyFill="1" applyBorder="1" applyAlignment="1">
      <alignment horizontal="center"/>
    </xf>
    <xf numFmtId="0" fontId="4" fillId="39" borderId="79" xfId="68" applyFill="1" applyBorder="1" applyAlignment="1">
      <alignment horizontal="center"/>
    </xf>
    <xf numFmtId="0" fontId="4" fillId="39" borderId="3" xfId="68" applyFill="1" applyBorder="1" applyAlignment="1">
      <alignment horizontal="center"/>
    </xf>
    <xf numFmtId="0" fontId="4" fillId="39" borderId="85" xfId="68" applyFill="1" applyBorder="1" applyAlignment="1">
      <alignment horizontal="center"/>
    </xf>
    <xf numFmtId="0" fontId="3" fillId="39" borderId="79" xfId="68" applyFont="1" applyFill="1" applyBorder="1" applyAlignment="1">
      <alignment horizontal="center"/>
    </xf>
    <xf numFmtId="0" fontId="3" fillId="58" borderId="79" xfId="68" applyFont="1" applyFill="1" applyBorder="1" applyAlignment="1">
      <alignment horizontal="center"/>
    </xf>
    <xf numFmtId="0" fontId="3" fillId="34" borderId="79" xfId="68" applyFont="1" applyFill="1" applyBorder="1" applyAlignment="1">
      <alignment horizontal="center"/>
    </xf>
    <xf numFmtId="0" fontId="3" fillId="36" borderId="79" xfId="68" applyFont="1" applyFill="1" applyBorder="1" applyAlignment="1">
      <alignment horizontal="center"/>
    </xf>
    <xf numFmtId="0" fontId="3" fillId="59" borderId="79" xfId="68" applyFont="1" applyFill="1" applyBorder="1" applyAlignment="1">
      <alignment horizontal="center"/>
    </xf>
    <xf numFmtId="0" fontId="3" fillId="62" borderId="81" xfId="68" applyFont="1" applyFill="1" applyBorder="1" applyAlignment="1">
      <alignment horizontal="center"/>
    </xf>
    <xf numFmtId="0" fontId="4" fillId="61" borderId="3" xfId="68" applyFill="1" applyBorder="1" applyAlignment="1">
      <alignment horizontal="center"/>
    </xf>
    <xf numFmtId="0" fontId="4" fillId="61" borderId="85" xfId="68" applyFill="1" applyBorder="1" applyAlignment="1">
      <alignment horizontal="center"/>
    </xf>
    <xf numFmtId="0" fontId="3" fillId="61" borderId="81" xfId="68" applyFont="1" applyFill="1" applyBorder="1" applyAlignment="1">
      <alignment horizontal="center"/>
    </xf>
    <xf numFmtId="0" fontId="4" fillId="59" borderId="81" xfId="68" applyFill="1" applyBorder="1" applyAlignment="1">
      <alignment horizontal="center"/>
    </xf>
    <xf numFmtId="0" fontId="4" fillId="59" borderId="51" xfId="68" applyFill="1" applyBorder="1" applyAlignment="1">
      <alignment horizontal="center"/>
    </xf>
    <xf numFmtId="0" fontId="4" fillId="59" borderId="84" xfId="68" applyFill="1" applyBorder="1" applyAlignment="1">
      <alignment horizontal="center"/>
    </xf>
    <xf numFmtId="1" fontId="0" fillId="28" borderId="3" xfId="0" applyNumberFormat="1" applyFill="1" applyBorder="1" applyAlignment="1">
      <alignment horizontal="center"/>
    </xf>
    <xf numFmtId="0" fontId="5" fillId="25" borderId="0" xfId="0" applyFont="1" applyFill="1" applyAlignment="1">
      <alignment horizontal="center"/>
    </xf>
    <xf numFmtId="165" fontId="5" fillId="25" borderId="0" xfId="0" applyNumberFormat="1" applyFont="1" applyFill="1" applyAlignment="1">
      <alignment horizontal="center"/>
    </xf>
    <xf numFmtId="1" fontId="0" fillId="36" borderId="53" xfId="0" applyNumberFormat="1" applyFill="1" applyBorder="1" applyAlignment="1">
      <alignment horizontal="center" vertical="center"/>
    </xf>
    <xf numFmtId="0" fontId="5" fillId="0" borderId="0" xfId="79"/>
    <xf numFmtId="0" fontId="5" fillId="0" borderId="46" xfId="79" applyBorder="1" applyAlignment="1">
      <alignment horizontal="center" shrinkToFit="1"/>
    </xf>
    <xf numFmtId="0" fontId="5" fillId="0" borderId="0" xfId="79" applyAlignment="1">
      <alignment horizontal="center" shrinkToFit="1"/>
    </xf>
    <xf numFmtId="0" fontId="0" fillId="72" borderId="3" xfId="0" applyFill="1" applyBorder="1"/>
    <xf numFmtId="0" fontId="0" fillId="72" borderId="3" xfId="0" applyFill="1" applyBorder="1" applyAlignment="1">
      <alignment horizontal="center"/>
    </xf>
    <xf numFmtId="0" fontId="0" fillId="73" borderId="3" xfId="0" applyFill="1" applyBorder="1"/>
    <xf numFmtId="0" fontId="0" fillId="73" borderId="3" xfId="0" applyFill="1" applyBorder="1" applyAlignment="1">
      <alignment horizontal="center"/>
    </xf>
    <xf numFmtId="0" fontId="0" fillId="74" borderId="3" xfId="0" applyFill="1" applyBorder="1" applyAlignment="1">
      <alignment horizontal="center"/>
    </xf>
    <xf numFmtId="0" fontId="0" fillId="74" borderId="3" xfId="0" applyFill="1" applyBorder="1"/>
    <xf numFmtId="0" fontId="0" fillId="75" borderId="3" xfId="0" applyFill="1" applyBorder="1"/>
    <xf numFmtId="0" fontId="0" fillId="75" borderId="3" xfId="0" applyFill="1" applyBorder="1" applyAlignment="1">
      <alignment horizontal="center"/>
    </xf>
    <xf numFmtId="0" fontId="0" fillId="76" borderId="3" xfId="0" applyFill="1" applyBorder="1"/>
    <xf numFmtId="0" fontId="0" fillId="76" borderId="3" xfId="0" applyFill="1" applyBorder="1" applyAlignment="1">
      <alignment horizontal="center"/>
    </xf>
    <xf numFmtId="0" fontId="0" fillId="77" borderId="3" xfId="0" applyFill="1" applyBorder="1"/>
    <xf numFmtId="0" fontId="0" fillId="77" borderId="3" xfId="0" applyFill="1" applyBorder="1" applyAlignment="1">
      <alignment horizontal="center"/>
    </xf>
    <xf numFmtId="0" fontId="5" fillId="28" borderId="44" xfId="0" applyFont="1" applyFill="1" applyBorder="1" applyAlignment="1">
      <alignment horizontal="center"/>
    </xf>
    <xf numFmtId="165" fontId="5" fillId="28" borderId="0" xfId="0" applyNumberFormat="1" applyFont="1" applyFill="1" applyAlignment="1">
      <alignment horizontal="center"/>
    </xf>
    <xf numFmtId="0" fontId="30" fillId="28" borderId="0" xfId="0" applyFont="1" applyFill="1" applyAlignment="1">
      <alignment horizontal="center"/>
    </xf>
    <xf numFmtId="0" fontId="30" fillId="28" borderId="45" xfId="0" applyFont="1" applyFill="1" applyBorder="1" applyAlignment="1">
      <alignment horizontal="center"/>
    </xf>
    <xf numFmtId="0" fontId="5" fillId="28" borderId="0" xfId="0" applyFont="1" applyFill="1" applyAlignment="1">
      <alignment horizontal="center"/>
    </xf>
    <xf numFmtId="0" fontId="31" fillId="28" borderId="0" xfId="0" applyFont="1" applyFill="1" applyAlignment="1">
      <alignment horizontal="center"/>
    </xf>
    <xf numFmtId="0" fontId="76" fillId="28" borderId="0" xfId="0" applyFont="1" applyFill="1" applyAlignment="1">
      <alignment horizontal="center"/>
    </xf>
    <xf numFmtId="165" fontId="59" fillId="28" borderId="0" xfId="0" applyNumberFormat="1" applyFont="1" applyFill="1" applyAlignment="1">
      <alignment horizontal="center"/>
    </xf>
    <xf numFmtId="0" fontId="59" fillId="28" borderId="44" xfId="0" applyFont="1" applyFill="1" applyBorder="1" applyAlignment="1">
      <alignment horizontal="center"/>
    </xf>
    <xf numFmtId="0" fontId="5" fillId="30" borderId="0" xfId="0" applyFont="1" applyFill="1" applyAlignment="1">
      <alignment horizontal="center"/>
    </xf>
    <xf numFmtId="0" fontId="7" fillId="30" borderId="0" xfId="0" applyFont="1" applyFill="1" applyAlignment="1">
      <alignment horizontal="center"/>
    </xf>
    <xf numFmtId="165" fontId="5" fillId="30" borderId="0" xfId="0" applyNumberFormat="1" applyFont="1" applyFill="1" applyAlignment="1">
      <alignment horizontal="center"/>
    </xf>
    <xf numFmtId="2" fontId="5" fillId="30" borderId="0" xfId="0" applyNumberFormat="1" applyFont="1" applyFill="1" applyAlignment="1">
      <alignment horizontal="center"/>
    </xf>
    <xf numFmtId="3" fontId="0" fillId="38" borderId="3" xfId="0" applyNumberFormat="1" applyFill="1" applyBorder="1" applyAlignment="1">
      <alignment horizontal="center"/>
    </xf>
    <xf numFmtId="1" fontId="21" fillId="34" borderId="24" xfId="27" quotePrefix="1" applyNumberFormat="1" applyFont="1" applyFill="1" applyBorder="1" applyAlignment="1">
      <alignment horizontal="center" vertical="center"/>
    </xf>
    <xf numFmtId="1" fontId="21" fillId="34" borderId="20" xfId="27" applyNumberFormat="1" applyFont="1" applyFill="1" applyBorder="1" applyAlignment="1">
      <alignment horizontal="center" vertical="center"/>
    </xf>
    <xf numFmtId="0" fontId="21" fillId="34" borderId="20" xfId="27" applyFont="1" applyFill="1" applyBorder="1" applyAlignment="1">
      <alignment horizontal="center" vertical="center"/>
    </xf>
    <xf numFmtId="0" fontId="21" fillId="0" borderId="24" xfId="27" applyFont="1" applyBorder="1" applyAlignment="1">
      <alignment horizontal="center" vertical="center"/>
    </xf>
    <xf numFmtId="0" fontId="24" fillId="0" borderId="25" xfId="27" applyFont="1" applyBorder="1" applyAlignment="1">
      <alignment horizontal="center" vertical="center"/>
    </xf>
    <xf numFmtId="0" fontId="21" fillId="28" borderId="20" xfId="27" applyFont="1" applyFill="1" applyBorder="1" applyAlignment="1">
      <alignment horizontal="center" vertical="center"/>
    </xf>
    <xf numFmtId="0" fontId="21" fillId="34" borderId="15" xfId="27" applyFont="1" applyFill="1" applyBorder="1" applyAlignment="1">
      <alignment horizontal="center" vertical="center"/>
    </xf>
    <xf numFmtId="0" fontId="21" fillId="34" borderId="100" xfId="27" applyFont="1" applyFill="1" applyBorder="1" applyAlignment="1">
      <alignment horizontal="center" vertical="center"/>
    </xf>
    <xf numFmtId="0" fontId="21" fillId="34" borderId="57" xfId="27" applyFont="1" applyFill="1" applyBorder="1" applyAlignment="1">
      <alignment horizontal="center" vertical="center"/>
    </xf>
    <xf numFmtId="1" fontId="21" fillId="34" borderId="15" xfId="26" applyNumberFormat="1" applyFont="1" applyFill="1" applyBorder="1" applyAlignment="1">
      <alignment horizontal="center" vertical="center"/>
    </xf>
    <xf numFmtId="1" fontId="21" fillId="34" borderId="100" xfId="26" applyNumberFormat="1" applyFont="1" applyFill="1" applyBorder="1" applyAlignment="1">
      <alignment horizontal="center" vertical="center"/>
    </xf>
    <xf numFmtId="1" fontId="21" fillId="34" borderId="57" xfId="26" applyNumberFormat="1" applyFont="1" applyFill="1" applyBorder="1" applyAlignment="1">
      <alignment horizontal="center" vertical="center"/>
    </xf>
    <xf numFmtId="1" fontId="0" fillId="0" borderId="55" xfId="0" applyNumberFormat="1" applyBorder="1" applyAlignment="1">
      <alignment horizontal="center" vertical="center"/>
    </xf>
    <xf numFmtId="0" fontId="21" fillId="0" borderId="25" xfId="27" applyFont="1" applyBorder="1" applyAlignment="1">
      <alignment horizontal="center" vertical="center"/>
    </xf>
    <xf numFmtId="164" fontId="21" fillId="0" borderId="25" xfId="27" applyNumberFormat="1" applyFont="1" applyBorder="1" applyAlignment="1">
      <alignment horizontal="center" vertical="center"/>
    </xf>
    <xf numFmtId="0" fontId="20" fillId="34" borderId="100" xfId="27" applyFont="1" applyFill="1" applyBorder="1" applyAlignment="1">
      <alignment vertical="center"/>
    </xf>
    <xf numFmtId="0" fontId="21" fillId="74" borderId="15" xfId="27" applyFont="1" applyFill="1" applyBorder="1" applyAlignment="1">
      <alignment horizontal="center" vertical="center"/>
    </xf>
    <xf numFmtId="0" fontId="21" fillId="74" borderId="100" xfId="27" applyFont="1" applyFill="1" applyBorder="1" applyAlignment="1">
      <alignment horizontal="center" vertical="center"/>
    </xf>
    <xf numFmtId="0" fontId="21" fillId="74" borderId="57" xfId="27" applyFont="1" applyFill="1" applyBorder="1" applyAlignment="1">
      <alignment horizontal="center" vertical="center"/>
    </xf>
    <xf numFmtId="164" fontId="21" fillId="8" borderId="12" xfId="27" applyNumberFormat="1" applyFont="1" applyFill="1" applyBorder="1" applyAlignment="1">
      <alignment horizontal="center" vertical="center"/>
    </xf>
    <xf numFmtId="164" fontId="21" fillId="8" borderId="30" xfId="27" applyNumberFormat="1" applyFont="1" applyFill="1" applyBorder="1" applyAlignment="1">
      <alignment horizontal="center" vertical="center"/>
    </xf>
    <xf numFmtId="164" fontId="29" fillId="0" borderId="6" xfId="27" applyNumberFormat="1" applyFont="1" applyBorder="1" applyAlignment="1">
      <alignment horizontal="center" vertical="center"/>
    </xf>
    <xf numFmtId="2" fontId="29" fillId="0" borderId="6" xfId="27" applyNumberFormat="1" applyFont="1" applyBorder="1" applyAlignment="1">
      <alignment horizontal="center" vertical="center"/>
    </xf>
    <xf numFmtId="0" fontId="21" fillId="34" borderId="24" xfId="27" quotePrefix="1" applyFont="1" applyFill="1" applyBorder="1" applyAlignment="1">
      <alignment horizontal="center" vertical="center"/>
    </xf>
    <xf numFmtId="0" fontId="5" fillId="34" borderId="44" xfId="0" applyFont="1" applyFill="1" applyBorder="1" applyAlignment="1">
      <alignment horizontal="center"/>
    </xf>
    <xf numFmtId="0" fontId="0" fillId="0" borderId="0" xfId="0" applyAlignment="1">
      <alignment horizontal="center" vertical="center"/>
    </xf>
    <xf numFmtId="0" fontId="5" fillId="0" borderId="0" xfId="0" applyFont="1" applyAlignment="1">
      <alignment horizontal="center" vertical="center"/>
    </xf>
    <xf numFmtId="49" fontId="0" fillId="0" borderId="0" xfId="0" applyNumberFormat="1" applyAlignment="1">
      <alignment horizontal="center" vertical="center"/>
    </xf>
    <xf numFmtId="0" fontId="0" fillId="0" borderId="38" xfId="0" applyBorder="1" applyAlignment="1">
      <alignment horizontal="center" vertical="center"/>
    </xf>
    <xf numFmtId="0" fontId="78" fillId="79" borderId="104" xfId="0" applyFont="1" applyFill="1" applyBorder="1" applyAlignment="1">
      <alignment horizontal="center" vertical="center"/>
    </xf>
    <xf numFmtId="0" fontId="80" fillId="0" borderId="105" xfId="0" applyFont="1" applyBorder="1" applyAlignment="1">
      <alignment horizontal="center" vertical="center"/>
    </xf>
    <xf numFmtId="0" fontId="78" fillId="79" borderId="106" xfId="0" applyFont="1" applyFill="1" applyBorder="1" applyAlignment="1">
      <alignment horizontal="center" vertical="center"/>
    </xf>
    <xf numFmtId="0" fontId="80" fillId="0" borderId="107" xfId="0" applyFont="1" applyBorder="1" applyAlignment="1">
      <alignment horizontal="center" vertical="center"/>
    </xf>
    <xf numFmtId="164" fontId="21" fillId="0" borderId="4" xfId="27" applyNumberFormat="1" applyFont="1" applyBorder="1" applyAlignment="1">
      <alignment horizontal="center" vertical="center"/>
    </xf>
    <xf numFmtId="164" fontId="21" fillId="0" borderId="12" xfId="27" applyNumberFormat="1" applyFont="1" applyBorder="1" applyAlignment="1">
      <alignment horizontal="center" vertical="center"/>
    </xf>
    <xf numFmtId="164" fontId="21" fillId="34" borderId="24" xfId="27" quotePrefix="1" applyNumberFormat="1" applyFont="1" applyFill="1" applyBorder="1" applyAlignment="1">
      <alignment horizontal="center" vertical="center"/>
    </xf>
    <xf numFmtId="0" fontId="21" fillId="74" borderId="56" xfId="27" applyFont="1" applyFill="1" applyBorder="1" applyAlignment="1">
      <alignment horizontal="center" vertical="center"/>
    </xf>
    <xf numFmtId="0" fontId="21" fillId="74" borderId="110" xfId="27" applyFont="1" applyFill="1" applyBorder="1" applyAlignment="1">
      <alignment horizontal="center" vertical="center"/>
    </xf>
    <xf numFmtId="164" fontId="21" fillId="0" borderId="78" xfId="27" applyNumberFormat="1" applyFont="1" applyBorder="1" applyAlignment="1">
      <alignment horizontal="center" vertical="center"/>
    </xf>
    <xf numFmtId="164" fontId="21" fillId="0" borderId="79" xfId="27" applyNumberFormat="1" applyFont="1" applyBorder="1" applyAlignment="1">
      <alignment horizontal="center" vertical="center"/>
    </xf>
    <xf numFmtId="164" fontId="21" fillId="0" borderId="82" xfId="27" applyNumberFormat="1" applyFont="1" applyBorder="1" applyAlignment="1">
      <alignment horizontal="center" vertical="center"/>
    </xf>
    <xf numFmtId="0" fontId="21" fillId="0" borderId="78" xfId="27" applyFont="1" applyBorder="1" applyAlignment="1">
      <alignment horizontal="center" vertical="center"/>
    </xf>
    <xf numFmtId="2" fontId="21" fillId="0" borderId="83" xfId="27" applyNumberFormat="1" applyFont="1" applyBorder="1" applyAlignment="1">
      <alignment horizontal="center" vertical="center"/>
    </xf>
    <xf numFmtId="1" fontId="0" fillId="0" borderId="51" xfId="0" applyNumberFormat="1" applyBorder="1" applyAlignment="1">
      <alignment horizontal="center" vertical="center"/>
    </xf>
    <xf numFmtId="1" fontId="0" fillId="0" borderId="84" xfId="0" applyNumberFormat="1" applyBorder="1" applyAlignment="1">
      <alignment horizontal="center" vertical="center"/>
    </xf>
    <xf numFmtId="0" fontId="21" fillId="74" borderId="40" xfId="27" applyFont="1" applyFill="1" applyBorder="1" applyAlignment="1">
      <alignment horizontal="center" vertical="center"/>
    </xf>
    <xf numFmtId="2" fontId="21" fillId="0" borderId="81" xfId="27" applyNumberFormat="1" applyFont="1" applyBorder="1" applyAlignment="1">
      <alignment horizontal="center" vertical="center"/>
    </xf>
    <xf numFmtId="2" fontId="21" fillId="0" borderId="51" xfId="27" applyNumberFormat="1" applyFont="1" applyBorder="1" applyAlignment="1">
      <alignment horizontal="center" vertical="center"/>
    </xf>
    <xf numFmtId="2" fontId="21" fillId="0" borderId="84" xfId="27" applyNumberFormat="1" applyFont="1" applyBorder="1" applyAlignment="1">
      <alignment horizontal="center" vertical="center"/>
    </xf>
    <xf numFmtId="0" fontId="21" fillId="0" borderId="81" xfId="27" applyFont="1" applyBorder="1" applyAlignment="1">
      <alignment horizontal="center" vertical="center"/>
    </xf>
    <xf numFmtId="0" fontId="21" fillId="7" borderId="111" xfId="27" applyFont="1" applyFill="1" applyBorder="1" applyAlignment="1">
      <alignment horizontal="center" vertical="center"/>
    </xf>
    <xf numFmtId="0" fontId="21" fillId="7" borderId="112" xfId="27" applyFont="1" applyFill="1" applyBorder="1" applyAlignment="1">
      <alignment horizontal="center" vertical="center"/>
    </xf>
    <xf numFmtId="0" fontId="21" fillId="0" borderId="54" xfId="27" applyFont="1" applyBorder="1" applyAlignment="1">
      <alignment horizontal="center" vertical="center"/>
    </xf>
    <xf numFmtId="0" fontId="21" fillId="7" borderId="9" xfId="27" applyFont="1" applyFill="1" applyBorder="1" applyAlignment="1">
      <alignment horizontal="center" vertical="center"/>
    </xf>
    <xf numFmtId="164" fontId="20" fillId="27" borderId="69" xfId="27" applyNumberFormat="1" applyFont="1" applyFill="1" applyBorder="1" applyAlignment="1">
      <alignment horizontal="center" vertical="center"/>
    </xf>
    <xf numFmtId="164" fontId="20" fillId="27" borderId="108" xfId="27" applyNumberFormat="1" applyFont="1" applyFill="1" applyBorder="1" applyAlignment="1">
      <alignment horizontal="center" vertical="center"/>
    </xf>
    <xf numFmtId="164" fontId="20" fillId="27" borderId="109" xfId="27" applyNumberFormat="1" applyFont="1" applyFill="1" applyBorder="1" applyAlignment="1">
      <alignment horizontal="center" vertical="center"/>
    </xf>
    <xf numFmtId="0" fontId="11" fillId="27" borderId="65" xfId="0" applyFont="1" applyFill="1" applyBorder="1" applyAlignment="1">
      <alignment horizontal="center" vertical="center"/>
    </xf>
    <xf numFmtId="0" fontId="11" fillId="27" borderId="66" xfId="0" applyFont="1" applyFill="1" applyBorder="1" applyAlignment="1">
      <alignment horizontal="center" vertical="center"/>
    </xf>
    <xf numFmtId="0" fontId="21" fillId="0" borderId="69" xfId="27" applyFont="1" applyBorder="1" applyAlignment="1">
      <alignment horizontal="center" vertical="center"/>
    </xf>
    <xf numFmtId="0" fontId="21" fillId="0" borderId="108" xfId="27" applyFont="1" applyBorder="1" applyAlignment="1">
      <alignment horizontal="center" vertical="center"/>
    </xf>
    <xf numFmtId="0" fontId="21" fillId="0" borderId="109" xfId="27" applyFont="1" applyBorder="1" applyAlignment="1">
      <alignment horizontal="center" vertical="center"/>
    </xf>
    <xf numFmtId="1" fontId="21" fillId="0" borderId="51" xfId="27" applyNumberFormat="1" applyFont="1" applyBorder="1" applyAlignment="1">
      <alignment horizontal="center" vertical="center"/>
    </xf>
    <xf numFmtId="1" fontId="21" fillId="0" borderId="84" xfId="27" applyNumberFormat="1" applyFont="1" applyBorder="1" applyAlignment="1">
      <alignment horizontal="center" vertical="center"/>
    </xf>
    <xf numFmtId="0" fontId="20" fillId="27" borderId="24" xfId="27" applyFont="1" applyFill="1" applyBorder="1" applyAlignment="1">
      <alignment horizontal="center" vertical="center"/>
    </xf>
    <xf numFmtId="164" fontId="20" fillId="27" borderId="65" xfId="27" applyNumberFormat="1" applyFont="1" applyFill="1" applyBorder="1" applyAlignment="1">
      <alignment horizontal="center" vertical="center"/>
    </xf>
    <xf numFmtId="0" fontId="7" fillId="27" borderId="66" xfId="0" applyFont="1" applyFill="1" applyBorder="1" applyAlignment="1">
      <alignment horizontal="center" vertical="center"/>
    </xf>
    <xf numFmtId="0" fontId="7" fillId="27" borderId="67" xfId="0" applyFont="1" applyFill="1" applyBorder="1" applyAlignment="1">
      <alignment horizontal="center" vertical="center"/>
    </xf>
    <xf numFmtId="0" fontId="20" fillId="27" borderId="18" xfId="27" applyFont="1" applyFill="1" applyBorder="1" applyAlignment="1">
      <alignment horizontal="center" vertical="center"/>
    </xf>
    <xf numFmtId="0" fontId="20" fillId="27" borderId="65" xfId="27" applyFont="1" applyFill="1" applyBorder="1" applyAlignment="1">
      <alignment horizontal="center" vertical="center"/>
    </xf>
    <xf numFmtId="0" fontId="20" fillId="27" borderId="66" xfId="27" applyFont="1" applyFill="1" applyBorder="1" applyAlignment="1">
      <alignment horizontal="center" vertical="center"/>
    </xf>
    <xf numFmtId="0" fontId="20" fillId="27" borderId="67" xfId="27" applyFont="1" applyFill="1" applyBorder="1" applyAlignment="1">
      <alignment horizontal="center" vertical="center"/>
    </xf>
    <xf numFmtId="0" fontId="20" fillId="27" borderId="88" xfId="27" applyFont="1" applyFill="1" applyBorder="1" applyAlignment="1">
      <alignment horizontal="center" vertical="center"/>
    </xf>
    <xf numFmtId="0" fontId="20" fillId="27" borderId="89" xfId="27" applyFont="1" applyFill="1" applyBorder="1" applyAlignment="1">
      <alignment horizontal="center" vertical="center"/>
    </xf>
    <xf numFmtId="2" fontId="20" fillId="27" borderId="90" xfId="27" applyNumberFormat="1" applyFont="1" applyFill="1" applyBorder="1" applyAlignment="1">
      <alignment horizontal="center" vertical="center"/>
    </xf>
    <xf numFmtId="164" fontId="20" fillId="27" borderId="66" xfId="27" applyNumberFormat="1" applyFont="1" applyFill="1" applyBorder="1" applyAlignment="1">
      <alignment horizontal="center" vertical="center"/>
    </xf>
    <xf numFmtId="164" fontId="20" fillId="27" borderId="67" xfId="27" applyNumberFormat="1" applyFont="1" applyFill="1" applyBorder="1" applyAlignment="1">
      <alignment horizontal="center" vertical="center"/>
    </xf>
    <xf numFmtId="0" fontId="21" fillId="7" borderId="30" xfId="27" applyFont="1" applyFill="1" applyBorder="1" applyAlignment="1">
      <alignment horizontal="center" vertical="center"/>
    </xf>
    <xf numFmtId="1" fontId="21" fillId="0" borderId="24" xfId="27" applyNumberFormat="1" applyFont="1" applyBorder="1" applyAlignment="1">
      <alignment horizontal="center" vertical="center"/>
    </xf>
    <xf numFmtId="0" fontId="11" fillId="27" borderId="67" xfId="0" applyFont="1" applyFill="1" applyBorder="1" applyAlignment="1">
      <alignment horizontal="center" vertical="center"/>
    </xf>
    <xf numFmtId="0" fontId="5" fillId="36" borderId="89" xfId="0" applyFont="1" applyFill="1" applyBorder="1" applyAlignment="1">
      <alignment horizontal="center" vertical="center"/>
    </xf>
    <xf numFmtId="0" fontId="20" fillId="34" borderId="69" xfId="27" applyFont="1" applyFill="1" applyBorder="1" applyAlignment="1">
      <alignment vertical="center"/>
    </xf>
    <xf numFmtId="0" fontId="20" fillId="34" borderId="108" xfId="27" applyFont="1" applyFill="1" applyBorder="1" applyAlignment="1">
      <alignment vertical="center"/>
    </xf>
    <xf numFmtId="0" fontId="20" fillId="34" borderId="109" xfId="27" applyFont="1" applyFill="1" applyBorder="1" applyAlignment="1">
      <alignment vertical="center"/>
    </xf>
    <xf numFmtId="164" fontId="5" fillId="0" borderId="51" xfId="0" applyNumberFormat="1" applyFont="1" applyBorder="1" applyAlignment="1">
      <alignment horizontal="center" vertical="center"/>
    </xf>
    <xf numFmtId="164" fontId="5" fillId="0" borderId="84" xfId="0" applyNumberFormat="1" applyFont="1" applyBorder="1" applyAlignment="1">
      <alignment horizontal="center" vertical="center"/>
    </xf>
    <xf numFmtId="164" fontId="5" fillId="0" borderId="89" xfId="0" applyNumberFormat="1" applyFont="1" applyBorder="1" applyAlignment="1">
      <alignment horizontal="center" vertical="center"/>
    </xf>
    <xf numFmtId="164" fontId="5" fillId="0" borderId="90" xfId="0" applyNumberFormat="1" applyFont="1" applyBorder="1" applyAlignment="1">
      <alignment horizontal="center" vertical="center"/>
    </xf>
    <xf numFmtId="1" fontId="21" fillId="0" borderId="52" xfId="27" applyNumberFormat="1" applyFont="1" applyBorder="1" applyAlignment="1">
      <alignment horizontal="center" vertical="center"/>
    </xf>
    <xf numFmtId="1" fontId="21" fillId="0" borderId="83" xfId="27" applyNumberFormat="1" applyFont="1" applyBorder="1" applyAlignment="1">
      <alignment horizontal="center" vertical="center"/>
    </xf>
    <xf numFmtId="0" fontId="21" fillId="0" borderId="88" xfId="27" applyFont="1" applyBorder="1" applyAlignment="1">
      <alignment horizontal="center" vertical="center"/>
    </xf>
    <xf numFmtId="1" fontId="21" fillId="0" borderId="89" xfId="27" applyNumberFormat="1" applyFont="1" applyBorder="1" applyAlignment="1">
      <alignment horizontal="center" vertical="center"/>
    </xf>
    <xf numFmtId="1" fontId="21" fillId="0" borderId="90" xfId="27" applyNumberFormat="1" applyFont="1" applyBorder="1" applyAlignment="1">
      <alignment horizontal="center" vertical="center"/>
    </xf>
    <xf numFmtId="2" fontId="21" fillId="0" borderId="78" xfId="27" applyNumberFormat="1" applyFont="1" applyBorder="1" applyAlignment="1">
      <alignment horizontal="center" vertical="center"/>
    </xf>
    <xf numFmtId="2" fontId="21" fillId="0" borderId="52" xfId="27" applyNumberFormat="1" applyFont="1" applyBorder="1" applyAlignment="1">
      <alignment horizontal="center" vertical="center"/>
    </xf>
    <xf numFmtId="2" fontId="21" fillId="0" borderId="88" xfId="27" applyNumberFormat="1" applyFont="1" applyBorder="1" applyAlignment="1">
      <alignment horizontal="center" vertical="center"/>
    </xf>
    <xf numFmtId="2" fontId="21" fillId="0" borderId="89" xfId="27" applyNumberFormat="1" applyFont="1" applyBorder="1" applyAlignment="1">
      <alignment horizontal="center" vertical="center"/>
    </xf>
    <xf numFmtId="2" fontId="21" fillId="0" borderId="90" xfId="27" applyNumberFormat="1" applyFont="1" applyBorder="1" applyAlignment="1">
      <alignment horizontal="center" vertical="center"/>
    </xf>
    <xf numFmtId="1" fontId="0" fillId="0" borderId="52" xfId="0" applyNumberFormat="1" applyBorder="1" applyAlignment="1">
      <alignment horizontal="center" vertical="center"/>
    </xf>
    <xf numFmtId="1" fontId="0" fillId="0" borderId="83" xfId="0" applyNumberFormat="1" applyBorder="1" applyAlignment="1">
      <alignment horizontal="center" vertical="center"/>
    </xf>
    <xf numFmtId="1" fontId="0" fillId="0" borderId="89" xfId="0" applyNumberFormat="1" applyBorder="1" applyAlignment="1">
      <alignment horizontal="center" vertical="center"/>
    </xf>
    <xf numFmtId="1" fontId="0" fillId="0" borderId="90" xfId="0" applyNumberFormat="1" applyBorder="1" applyAlignment="1">
      <alignment horizontal="center" vertical="center"/>
    </xf>
    <xf numFmtId="0" fontId="26" fillId="80" borderId="17" xfId="27" applyFont="1" applyFill="1" applyBorder="1" applyAlignment="1">
      <alignment horizontal="left" vertical="center"/>
    </xf>
    <xf numFmtId="0" fontId="20" fillId="80" borderId="18" xfId="27" applyFont="1" applyFill="1" applyBorder="1" applyAlignment="1">
      <alignment vertical="center"/>
    </xf>
    <xf numFmtId="0" fontId="24" fillId="80" borderId="18" xfId="27" applyFont="1" applyFill="1" applyBorder="1" applyAlignment="1">
      <alignment vertical="center"/>
    </xf>
    <xf numFmtId="1" fontId="24" fillId="80" borderId="18" xfId="27" applyNumberFormat="1" applyFont="1" applyFill="1" applyBorder="1" applyAlignment="1">
      <alignment vertical="center"/>
    </xf>
    <xf numFmtId="0" fontId="26" fillId="80" borderId="18" xfId="27" applyFont="1" applyFill="1" applyBorder="1" applyAlignment="1">
      <alignment vertical="center"/>
    </xf>
    <xf numFmtId="0" fontId="26" fillId="80" borderId="19" xfId="27" applyFont="1" applyFill="1" applyBorder="1" applyAlignment="1">
      <alignment vertical="center"/>
    </xf>
    <xf numFmtId="0" fontId="20" fillId="81" borderId="18" xfId="27" applyFont="1" applyFill="1" applyBorder="1" applyAlignment="1">
      <alignment vertical="center"/>
    </xf>
    <xf numFmtId="0" fontId="24" fillId="81" borderId="18" xfId="27" applyFont="1" applyFill="1" applyBorder="1" applyAlignment="1">
      <alignment vertical="center"/>
    </xf>
    <xf numFmtId="1" fontId="24" fillId="81" borderId="18" xfId="27" applyNumberFormat="1" applyFont="1" applyFill="1" applyBorder="1" applyAlignment="1">
      <alignment vertical="center"/>
    </xf>
    <xf numFmtId="0" fontId="26" fillId="81" borderId="18" xfId="27" applyFont="1" applyFill="1" applyBorder="1" applyAlignment="1">
      <alignment vertical="center"/>
    </xf>
    <xf numFmtId="0" fontId="26" fillId="81" borderId="19" xfId="27" applyFont="1" applyFill="1" applyBorder="1" applyAlignment="1">
      <alignment vertical="center"/>
    </xf>
    <xf numFmtId="0" fontId="81" fillId="81" borderId="17" xfId="27" applyFont="1" applyFill="1" applyBorder="1" applyAlignment="1">
      <alignment horizontal="left" vertical="center"/>
    </xf>
    <xf numFmtId="0" fontId="81" fillId="80" borderId="48" xfId="27" applyFont="1" applyFill="1" applyBorder="1" applyAlignment="1">
      <alignment horizontal="left" vertical="center"/>
    </xf>
    <xf numFmtId="0" fontId="81" fillId="80" borderId="49" xfId="27" applyFont="1" applyFill="1" applyBorder="1" applyAlignment="1">
      <alignment vertical="center"/>
    </xf>
    <xf numFmtId="0" fontId="82" fillId="80" borderId="49" xfId="27" applyFont="1" applyFill="1" applyBorder="1" applyAlignment="1">
      <alignment vertical="center"/>
    </xf>
    <xf numFmtId="1" fontId="82" fillId="80" borderId="49" xfId="27" applyNumberFormat="1" applyFont="1" applyFill="1" applyBorder="1" applyAlignment="1">
      <alignment vertical="center"/>
    </xf>
    <xf numFmtId="0" fontId="81" fillId="80" borderId="50" xfId="27" applyFont="1" applyFill="1" applyBorder="1" applyAlignment="1">
      <alignment vertical="center"/>
    </xf>
    <xf numFmtId="0" fontId="26" fillId="0" borderId="44" xfId="27" applyFont="1" applyBorder="1" applyAlignment="1">
      <alignment horizontal="left" vertical="center"/>
    </xf>
    <xf numFmtId="0" fontId="20" fillId="0" borderId="0" xfId="27" applyFont="1" applyAlignment="1">
      <alignment vertical="center"/>
    </xf>
    <xf numFmtId="1" fontId="24" fillId="0" borderId="0" xfId="27" applyNumberFormat="1" applyFont="1" applyAlignment="1">
      <alignment vertical="center"/>
    </xf>
    <xf numFmtId="0" fontId="26" fillId="0" borderId="0" xfId="27" applyFont="1" applyAlignment="1">
      <alignment vertical="center"/>
    </xf>
    <xf numFmtId="0" fontId="26" fillId="0" borderId="45" xfId="27" applyFont="1" applyBorder="1" applyAlignment="1">
      <alignment vertical="center"/>
    </xf>
    <xf numFmtId="0" fontId="83" fillId="33" borderId="0" xfId="27" applyFont="1" applyFill="1" applyAlignment="1">
      <alignment horizontal="center" vertical="center"/>
    </xf>
    <xf numFmtId="0" fontId="2" fillId="30" borderId="3" xfId="25" applyFont="1" applyFill="1" applyBorder="1"/>
    <xf numFmtId="0" fontId="1" fillId="30" borderId="3" xfId="25" applyFont="1" applyFill="1" applyBorder="1"/>
    <xf numFmtId="0" fontId="21" fillId="0" borderId="6" xfId="27" quotePrefix="1" applyFont="1" applyBorder="1" applyAlignment="1">
      <alignment horizontal="center" vertical="center"/>
    </xf>
    <xf numFmtId="0" fontId="38" fillId="0" borderId="49" xfId="0" applyFont="1" applyBorder="1" applyAlignment="1">
      <alignment horizontal="center" vertical="center" textRotation="90"/>
    </xf>
    <xf numFmtId="0" fontId="38" fillId="0" borderId="0" xfId="0" applyFont="1" applyAlignment="1">
      <alignment horizontal="center" vertical="center" textRotation="90"/>
    </xf>
    <xf numFmtId="0" fontId="38" fillId="0" borderId="22" xfId="0" applyFont="1" applyBorder="1" applyAlignment="1">
      <alignment horizontal="center" vertical="center" textRotation="90"/>
    </xf>
    <xf numFmtId="0" fontId="38" fillId="0" borderId="47" xfId="0" applyFont="1" applyBorder="1" applyAlignment="1">
      <alignment horizontal="center" vertical="center" textRotation="90"/>
    </xf>
    <xf numFmtId="0" fontId="75" fillId="25" borderId="48" xfId="0" applyFont="1" applyFill="1" applyBorder="1" applyAlignment="1">
      <alignment horizontal="center" vertical="center"/>
    </xf>
    <xf numFmtId="0" fontId="75" fillId="25" borderId="49" xfId="0" applyFont="1" applyFill="1" applyBorder="1" applyAlignment="1">
      <alignment horizontal="center" vertical="center"/>
    </xf>
    <xf numFmtId="0" fontId="75" fillId="25" borderId="50" xfId="0" applyFont="1" applyFill="1" applyBorder="1" applyAlignment="1">
      <alignment horizontal="center" vertical="center"/>
    </xf>
    <xf numFmtId="0" fontId="75" fillId="25" borderId="44" xfId="0" applyFont="1" applyFill="1" applyBorder="1" applyAlignment="1">
      <alignment horizontal="center" vertical="center"/>
    </xf>
    <xf numFmtId="0" fontId="75" fillId="25" borderId="0" xfId="0" applyFont="1" applyFill="1" applyAlignment="1">
      <alignment horizontal="center" vertical="center"/>
    </xf>
    <xf numFmtId="0" fontId="75" fillId="25" borderId="45" xfId="0" applyFont="1" applyFill="1" applyBorder="1" applyAlignment="1">
      <alignment horizontal="center" vertical="center"/>
    </xf>
    <xf numFmtId="0" fontId="75" fillId="25" borderId="48" xfId="0" applyFont="1" applyFill="1" applyBorder="1" applyAlignment="1">
      <alignment horizontal="center" vertical="center" wrapText="1"/>
    </xf>
    <xf numFmtId="0" fontId="75" fillId="25" borderId="49" xfId="0" applyFont="1" applyFill="1" applyBorder="1" applyAlignment="1">
      <alignment horizontal="center" vertical="center" wrapText="1"/>
    </xf>
    <xf numFmtId="0" fontId="75" fillId="25" borderId="50" xfId="0" applyFont="1" applyFill="1" applyBorder="1" applyAlignment="1">
      <alignment horizontal="center" vertical="center" wrapText="1"/>
    </xf>
    <xf numFmtId="0" fontId="75" fillId="25" borderId="44" xfId="0" applyFont="1" applyFill="1" applyBorder="1" applyAlignment="1">
      <alignment horizontal="center" vertical="center" wrapText="1"/>
    </xf>
    <xf numFmtId="0" fontId="75" fillId="25" borderId="0" xfId="0" applyFont="1" applyFill="1" applyAlignment="1">
      <alignment horizontal="center" vertical="center" wrapText="1"/>
    </xf>
    <xf numFmtId="0" fontId="75" fillId="25" borderId="45" xfId="0" applyFont="1" applyFill="1" applyBorder="1" applyAlignment="1">
      <alignment horizontal="center" vertical="center" wrapText="1"/>
    </xf>
    <xf numFmtId="0" fontId="75" fillId="25" borderId="21" xfId="0" applyFont="1" applyFill="1" applyBorder="1" applyAlignment="1">
      <alignment horizontal="center" vertical="center" wrapText="1"/>
    </xf>
    <xf numFmtId="0" fontId="75" fillId="25" borderId="22" xfId="0" applyFont="1" applyFill="1" applyBorder="1" applyAlignment="1">
      <alignment horizontal="center" vertical="center" wrapText="1"/>
    </xf>
    <xf numFmtId="0" fontId="75" fillId="25" borderId="23" xfId="0" applyFont="1" applyFill="1" applyBorder="1" applyAlignment="1">
      <alignment horizontal="center" vertical="center" wrapText="1"/>
    </xf>
    <xf numFmtId="0" fontId="74" fillId="25" borderId="48" xfId="0" applyFont="1" applyFill="1" applyBorder="1" applyAlignment="1">
      <alignment horizontal="center" vertical="center" wrapText="1"/>
    </xf>
    <xf numFmtId="0" fontId="74" fillId="25" borderId="49" xfId="0" applyFont="1" applyFill="1" applyBorder="1" applyAlignment="1">
      <alignment horizontal="center" vertical="center" wrapText="1"/>
    </xf>
    <xf numFmtId="0" fontId="74" fillId="25" borderId="50" xfId="0" applyFont="1" applyFill="1" applyBorder="1" applyAlignment="1">
      <alignment horizontal="center" vertical="center" wrapText="1"/>
    </xf>
    <xf numFmtId="0" fontId="74" fillId="25" borderId="21" xfId="0" applyFont="1" applyFill="1" applyBorder="1" applyAlignment="1">
      <alignment horizontal="center" vertical="center" wrapText="1"/>
    </xf>
    <xf numFmtId="0" fontId="74" fillId="25" borderId="22" xfId="0" applyFont="1" applyFill="1" applyBorder="1" applyAlignment="1">
      <alignment horizontal="center" vertical="center" wrapText="1"/>
    </xf>
    <xf numFmtId="0" fontId="74" fillId="25" borderId="23" xfId="0" applyFont="1" applyFill="1" applyBorder="1" applyAlignment="1">
      <alignment horizontal="center" vertical="center" wrapText="1"/>
    </xf>
    <xf numFmtId="0" fontId="75" fillId="25" borderId="21" xfId="0" applyFont="1" applyFill="1" applyBorder="1" applyAlignment="1">
      <alignment horizontal="center" vertical="center"/>
    </xf>
    <xf numFmtId="0" fontId="75" fillId="25" borderId="22" xfId="0" applyFont="1" applyFill="1" applyBorder="1" applyAlignment="1">
      <alignment horizontal="center" vertical="center"/>
    </xf>
    <xf numFmtId="0" fontId="75" fillId="25" borderId="23" xfId="0" applyFont="1" applyFill="1" applyBorder="1" applyAlignment="1">
      <alignment horizontal="center" vertical="center"/>
    </xf>
    <xf numFmtId="0" fontId="37" fillId="0" borderId="16" xfId="0" applyFont="1" applyBorder="1" applyAlignment="1">
      <alignment horizontal="center" vertical="center" textRotation="90"/>
    </xf>
    <xf numFmtId="0" fontId="37" fillId="0" borderId="47" xfId="0" applyFont="1" applyBorder="1" applyAlignment="1">
      <alignment horizontal="center" vertical="center" textRotation="90"/>
    </xf>
    <xf numFmtId="0" fontId="34" fillId="0" borderId="16" xfId="0" applyFont="1" applyBorder="1" applyAlignment="1">
      <alignment horizontal="center" vertical="center" textRotation="90"/>
    </xf>
    <xf numFmtId="0" fontId="34" fillId="0" borderId="47" xfId="0" applyFont="1" applyBorder="1" applyAlignment="1">
      <alignment horizontal="center" vertical="center" textRotation="90"/>
    </xf>
    <xf numFmtId="0" fontId="34" fillId="0" borderId="20" xfId="0" applyFont="1" applyBorder="1" applyAlignment="1">
      <alignment horizontal="center" vertical="center" textRotation="90"/>
    </xf>
    <xf numFmtId="0" fontId="36" fillId="0" borderId="16" xfId="0" applyFont="1" applyBorder="1" applyAlignment="1">
      <alignment horizontal="center" vertical="center" textRotation="90"/>
    </xf>
    <xf numFmtId="0" fontId="36" fillId="0" borderId="47" xfId="0" applyFont="1" applyBorder="1" applyAlignment="1">
      <alignment horizontal="center" vertical="center" textRotation="90"/>
    </xf>
    <xf numFmtId="0" fontId="36" fillId="0" borderId="20" xfId="0" applyFont="1" applyBorder="1" applyAlignment="1">
      <alignment horizontal="center" vertical="center" textRotation="90"/>
    </xf>
    <xf numFmtId="0" fontId="34" fillId="10" borderId="16" xfId="0" applyFont="1" applyFill="1" applyBorder="1" applyAlignment="1">
      <alignment horizontal="center" vertical="center" textRotation="90"/>
    </xf>
    <xf numFmtId="0" fontId="34" fillId="10" borderId="47" xfId="0" applyFont="1" applyFill="1" applyBorder="1" applyAlignment="1">
      <alignment horizontal="center" vertical="center" textRotation="90"/>
    </xf>
    <xf numFmtId="0" fontId="39" fillId="11" borderId="46" xfId="0" applyFont="1" applyFill="1" applyBorder="1" applyAlignment="1">
      <alignment horizontal="center" vertical="center" textRotation="90"/>
    </xf>
    <xf numFmtId="0" fontId="39" fillId="11" borderId="58" xfId="0" applyFont="1" applyFill="1" applyBorder="1" applyAlignment="1">
      <alignment horizontal="center" vertical="center" textRotation="90"/>
    </xf>
    <xf numFmtId="0" fontId="39" fillId="11" borderId="51" xfId="0" applyFont="1" applyFill="1" applyBorder="1" applyAlignment="1">
      <alignment horizontal="center" vertical="center" textRotation="90"/>
    </xf>
    <xf numFmtId="0" fontId="20" fillId="3" borderId="16" xfId="27" applyFont="1" applyFill="1" applyBorder="1" applyAlignment="1">
      <alignment horizontal="center" vertical="center"/>
    </xf>
    <xf numFmtId="0" fontId="20" fillId="3" borderId="20" xfId="27" applyFont="1" applyFill="1" applyBorder="1" applyAlignment="1">
      <alignment horizontal="center" vertical="center"/>
    </xf>
    <xf numFmtId="0" fontId="20" fillId="34" borderId="16" xfId="26" applyFont="1" applyFill="1" applyBorder="1" applyAlignment="1">
      <alignment horizontal="left" vertical="center"/>
    </xf>
    <xf numFmtId="0" fontId="20" fillId="34" borderId="26" xfId="26" applyFont="1" applyFill="1" applyBorder="1" applyAlignment="1">
      <alignment horizontal="left" vertical="center"/>
    </xf>
    <xf numFmtId="0" fontId="21" fillId="0" borderId="10" xfId="27" applyFont="1" applyBorder="1" applyAlignment="1">
      <alignment horizontal="center" vertical="center"/>
    </xf>
    <xf numFmtId="0" fontId="21" fillId="0" borderId="13" xfId="27" applyFont="1" applyBorder="1" applyAlignment="1">
      <alignment horizontal="center" vertical="center"/>
    </xf>
    <xf numFmtId="0" fontId="20" fillId="3" borderId="47" xfId="27" applyFont="1" applyFill="1" applyBorder="1" applyAlignment="1">
      <alignment horizontal="center" vertical="center"/>
    </xf>
    <xf numFmtId="0" fontId="21" fillId="0" borderId="3" xfId="27" applyFont="1" applyBorder="1" applyAlignment="1">
      <alignment horizontal="center" vertical="center"/>
    </xf>
    <xf numFmtId="0" fontId="11" fillId="0" borderId="17" xfId="0" applyFont="1" applyBorder="1" applyAlignment="1">
      <alignment horizontal="center" vertical="center"/>
    </xf>
    <xf numFmtId="0" fontId="11" fillId="0" borderId="18" xfId="0" applyFont="1" applyBorder="1" applyAlignment="1">
      <alignment horizontal="center" vertical="center"/>
    </xf>
    <xf numFmtId="0" fontId="11" fillId="0" borderId="19" xfId="0" applyFont="1" applyBorder="1" applyAlignment="1">
      <alignment horizontal="center" vertical="center"/>
    </xf>
    <xf numFmtId="0" fontId="11" fillId="27" borderId="17" xfId="0" applyFont="1" applyFill="1" applyBorder="1" applyAlignment="1">
      <alignment horizontal="center" vertical="center"/>
    </xf>
    <xf numFmtId="0" fontId="11" fillId="27" borderId="18" xfId="0" applyFont="1" applyFill="1" applyBorder="1" applyAlignment="1">
      <alignment horizontal="center" vertical="center"/>
    </xf>
    <xf numFmtId="0" fontId="11" fillId="27" borderId="19" xfId="0" applyFont="1" applyFill="1" applyBorder="1" applyAlignment="1">
      <alignment horizontal="center" vertical="center"/>
    </xf>
    <xf numFmtId="0" fontId="53" fillId="0" borderId="92" xfId="27" applyFont="1" applyBorder="1" applyAlignment="1">
      <alignment horizontal="center" vertical="center" wrapText="1"/>
    </xf>
    <xf numFmtId="0" fontId="53" fillId="0" borderId="26" xfId="27" applyFont="1" applyBorder="1" applyAlignment="1">
      <alignment horizontal="center" vertical="center" wrapText="1"/>
    </xf>
    <xf numFmtId="0" fontId="20" fillId="3" borderId="16" xfId="27" applyFont="1" applyFill="1" applyBorder="1" applyAlignment="1">
      <alignment horizontal="center" vertical="center" wrapText="1"/>
    </xf>
    <xf numFmtId="0" fontId="20" fillId="3" borderId="20" xfId="27" applyFont="1" applyFill="1" applyBorder="1" applyAlignment="1">
      <alignment horizontal="center" vertical="center" wrapText="1"/>
    </xf>
    <xf numFmtId="0" fontId="32" fillId="2" borderId="17" xfId="27" applyFont="1" applyFill="1" applyBorder="1" applyAlignment="1">
      <alignment horizontal="center" vertical="center"/>
    </xf>
    <xf numFmtId="0" fontId="32" fillId="2" borderId="18" xfId="27" applyFont="1" applyFill="1" applyBorder="1" applyAlignment="1">
      <alignment horizontal="center" vertical="center"/>
    </xf>
    <xf numFmtId="0" fontId="32" fillId="2" borderId="19" xfId="27" applyFont="1" applyFill="1" applyBorder="1" applyAlignment="1">
      <alignment horizontal="center" vertical="center"/>
    </xf>
    <xf numFmtId="0" fontId="21" fillId="28" borderId="0" xfId="27" applyFont="1" applyFill="1" applyAlignment="1">
      <alignment horizontal="center" vertical="center"/>
    </xf>
    <xf numFmtId="0" fontId="19" fillId="6" borderId="55" xfId="31" applyFont="1" applyFill="1" applyBorder="1" applyAlignment="1">
      <alignment horizontal="center" vertical="center"/>
    </xf>
    <xf numFmtId="0" fontId="19" fillId="6" borderId="1" xfId="31" applyFont="1" applyFill="1" applyBorder="1" applyAlignment="1">
      <alignment horizontal="center" vertical="center"/>
    </xf>
    <xf numFmtId="0" fontId="19" fillId="6" borderId="56" xfId="31" applyFont="1" applyFill="1" applyBorder="1" applyAlignment="1">
      <alignment horizontal="center" vertical="center"/>
    </xf>
    <xf numFmtId="0" fontId="19" fillId="6" borderId="59" xfId="31" applyFont="1" applyFill="1" applyBorder="1" applyAlignment="1">
      <alignment horizontal="center" vertical="center"/>
    </xf>
    <xf numFmtId="0" fontId="16" fillId="0" borderId="36" xfId="31" applyFont="1" applyBorder="1" applyAlignment="1">
      <alignment horizontal="center" vertical="center"/>
    </xf>
    <xf numFmtId="0" fontId="16" fillId="0" borderId="1" xfId="31" applyFont="1" applyBorder="1" applyAlignment="1">
      <alignment horizontal="center" vertical="center"/>
    </xf>
    <xf numFmtId="0" fontId="16" fillId="0" borderId="2" xfId="31" applyFont="1" applyBorder="1" applyAlignment="1">
      <alignment horizontal="center" vertical="center"/>
    </xf>
    <xf numFmtId="0" fontId="40" fillId="0" borderId="0" xfId="31" applyFont="1" applyAlignment="1">
      <alignment horizontal="center" vertical="center"/>
    </xf>
    <xf numFmtId="166" fontId="8" fillId="0" borderId="55" xfId="0" applyNumberFormat="1" applyFont="1" applyBorder="1" applyAlignment="1">
      <alignment horizontal="center" vertical="center"/>
    </xf>
    <xf numFmtId="166" fontId="8" fillId="0" borderId="56" xfId="0" applyNumberFormat="1" applyFont="1" applyBorder="1" applyAlignment="1">
      <alignment horizontal="center" vertical="center"/>
    </xf>
    <xf numFmtId="166" fontId="8" fillId="0" borderId="59" xfId="0" applyNumberFormat="1" applyFont="1"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59" xfId="0" applyBorder="1" applyAlignment="1">
      <alignment horizontal="center" vertical="center"/>
    </xf>
    <xf numFmtId="0" fontId="0" fillId="0" borderId="3" xfId="0" applyBorder="1" applyAlignment="1">
      <alignment horizontal="center" vertical="center"/>
    </xf>
    <xf numFmtId="169" fontId="8" fillId="0" borderId="36" xfId="0" applyNumberFormat="1" applyFont="1" applyBorder="1" applyAlignment="1">
      <alignment horizontal="center" vertical="center"/>
    </xf>
    <xf numFmtId="169" fontId="8" fillId="0" borderId="1" xfId="0" applyNumberFormat="1" applyFont="1" applyBorder="1"/>
    <xf numFmtId="0" fontId="5" fillId="0" borderId="3" xfId="0" applyFont="1" applyBorder="1" applyAlignment="1">
      <alignment horizontal="center" vertical="center"/>
    </xf>
    <xf numFmtId="1" fontId="5" fillId="0" borderId="55" xfId="0" applyNumberFormat="1" applyFont="1" applyBorder="1" applyAlignment="1">
      <alignment horizontal="center" vertical="center"/>
    </xf>
    <xf numFmtId="1" fontId="8" fillId="0" borderId="56" xfId="0" applyNumberFormat="1" applyFont="1" applyBorder="1" applyAlignment="1">
      <alignment horizontal="center" vertical="center"/>
    </xf>
    <xf numFmtId="1" fontId="8" fillId="0" borderId="59" xfId="0" applyNumberFormat="1" applyFont="1" applyBorder="1" applyAlignment="1">
      <alignment horizontal="center" vertical="center"/>
    </xf>
    <xf numFmtId="1" fontId="12" fillId="0" borderId="36" xfId="0" applyNumberFormat="1" applyFont="1" applyBorder="1" applyAlignment="1">
      <alignment horizontal="center" vertical="center"/>
    </xf>
    <xf numFmtId="0" fontId="12" fillId="0" borderId="1" xfId="0" applyFont="1" applyBorder="1"/>
    <xf numFmtId="0" fontId="11" fillId="0" borderId="3" xfId="0" applyFont="1" applyBorder="1" applyAlignment="1">
      <alignment horizontal="center" vertical="center"/>
    </xf>
    <xf numFmtId="0" fontId="13" fillId="0" borderId="3" xfId="0" applyFont="1" applyBorder="1" applyAlignment="1">
      <alignment horizontal="center" vertical="center"/>
    </xf>
    <xf numFmtId="1" fontId="13" fillId="0" borderId="36" xfId="0" applyNumberFormat="1" applyFont="1" applyBorder="1" applyAlignment="1">
      <alignment horizontal="center" vertical="center"/>
    </xf>
    <xf numFmtId="0" fontId="0" fillId="0" borderId="1" xfId="0" applyBorder="1"/>
    <xf numFmtId="0" fontId="0" fillId="0" borderId="2" xfId="0" applyBorder="1"/>
    <xf numFmtId="0" fontId="0" fillId="0" borderId="39" xfId="0" applyBorder="1"/>
    <xf numFmtId="0" fontId="0" fillId="0" borderId="40" xfId="0" applyBorder="1"/>
    <xf numFmtId="0" fontId="0" fillId="0" borderId="41" xfId="0" applyBorder="1"/>
    <xf numFmtId="0" fontId="14" fillId="0" borderId="55" xfId="0" applyFont="1" applyBorder="1" applyAlignment="1">
      <alignment horizontal="center" vertical="center"/>
    </xf>
    <xf numFmtId="0" fontId="0" fillId="0" borderId="56" xfId="0" applyBorder="1"/>
    <xf numFmtId="0" fontId="0" fillId="0" borderId="59" xfId="0" applyBorder="1"/>
    <xf numFmtId="0" fontId="11" fillId="0" borderId="55" xfId="0" applyFont="1" applyBorder="1" applyAlignment="1">
      <alignment horizontal="center" vertical="center"/>
    </xf>
    <xf numFmtId="0" fontId="11" fillId="0" borderId="56" xfId="0" applyFont="1" applyBorder="1" applyAlignment="1">
      <alignment horizontal="center" vertical="center"/>
    </xf>
    <xf numFmtId="0" fontId="11" fillId="0" borderId="59" xfId="0" applyFont="1" applyBorder="1" applyAlignment="1">
      <alignment horizontal="center" vertical="center"/>
    </xf>
    <xf numFmtId="0" fontId="7" fillId="0" borderId="39" xfId="0" applyFont="1" applyBorder="1" applyAlignment="1">
      <alignment horizontal="center" vertical="center"/>
    </xf>
    <xf numFmtId="0" fontId="7" fillId="0" borderId="40" xfId="0" applyFont="1" applyBorder="1" applyAlignment="1">
      <alignment horizontal="center" vertical="center"/>
    </xf>
    <xf numFmtId="0" fontId="7" fillId="0" borderId="41" xfId="0" applyFont="1" applyBorder="1" applyAlignment="1">
      <alignment horizontal="center" vertical="center"/>
    </xf>
    <xf numFmtId="0" fontId="8" fillId="0" borderId="55" xfId="0" applyFont="1" applyBorder="1" applyAlignment="1">
      <alignment horizontal="center" vertical="center"/>
    </xf>
    <xf numFmtId="0" fontId="8" fillId="0" borderId="56" xfId="0" applyFont="1" applyBorder="1" applyAlignment="1">
      <alignment horizontal="center" vertical="center"/>
    </xf>
    <xf numFmtId="1" fontId="13" fillId="0" borderId="1" xfId="0" applyNumberFormat="1" applyFont="1" applyBorder="1" applyAlignment="1">
      <alignment horizontal="center" vertical="center"/>
    </xf>
    <xf numFmtId="1" fontId="13" fillId="0" borderId="2" xfId="0" applyNumberFormat="1" applyFont="1" applyBorder="1" applyAlignment="1">
      <alignment horizontal="center" vertical="center"/>
    </xf>
    <xf numFmtId="1" fontId="13" fillId="0" borderId="37" xfId="0" applyNumberFormat="1" applyFont="1" applyBorder="1" applyAlignment="1">
      <alignment horizontal="center" vertical="center"/>
    </xf>
    <xf numFmtId="1" fontId="13" fillId="0" borderId="0" xfId="0" applyNumberFormat="1" applyFont="1" applyAlignment="1">
      <alignment horizontal="center" vertical="center"/>
    </xf>
    <xf numFmtId="1" fontId="13" fillId="0" borderId="38" xfId="0" applyNumberFormat="1" applyFont="1" applyBorder="1" applyAlignment="1">
      <alignment horizontal="center" vertical="center"/>
    </xf>
    <xf numFmtId="1" fontId="13" fillId="0" borderId="39" xfId="0" applyNumberFormat="1" applyFont="1" applyBorder="1" applyAlignment="1">
      <alignment horizontal="center" vertical="center"/>
    </xf>
    <xf numFmtId="1" fontId="13" fillId="0" borderId="40" xfId="0" applyNumberFormat="1" applyFont="1" applyBorder="1" applyAlignment="1">
      <alignment horizontal="center" vertical="center"/>
    </xf>
    <xf numFmtId="1" fontId="13" fillId="0" borderId="41" xfId="0" applyNumberFormat="1" applyFont="1" applyBorder="1" applyAlignment="1">
      <alignment horizontal="center" vertical="center"/>
    </xf>
    <xf numFmtId="0" fontId="8" fillId="0" borderId="36" xfId="0" applyFont="1" applyBorder="1" applyAlignment="1">
      <alignment horizontal="center" vertical="center"/>
    </xf>
    <xf numFmtId="0" fontId="8" fillId="0" borderId="1" xfId="0" applyFont="1" applyBorder="1" applyAlignment="1">
      <alignment horizontal="center" vertical="center"/>
    </xf>
    <xf numFmtId="0" fontId="8" fillId="0" borderId="2" xfId="0" applyFont="1" applyBorder="1" applyAlignment="1">
      <alignment horizontal="center" vertical="center"/>
    </xf>
    <xf numFmtId="0" fontId="8" fillId="0" borderId="37" xfId="0" applyFont="1" applyBorder="1" applyAlignment="1">
      <alignment horizontal="center" vertical="center"/>
    </xf>
    <xf numFmtId="0" fontId="8" fillId="0" borderId="0" xfId="0" applyFont="1" applyAlignment="1">
      <alignment horizontal="center" vertical="center"/>
    </xf>
    <xf numFmtId="0" fontId="8" fillId="0" borderId="38" xfId="0" applyFont="1" applyBorder="1" applyAlignment="1">
      <alignment horizontal="center" vertical="center"/>
    </xf>
    <xf numFmtId="0" fontId="8" fillId="0" borderId="39" xfId="0" applyFont="1" applyBorder="1" applyAlignment="1">
      <alignment horizontal="center" vertical="center"/>
    </xf>
    <xf numFmtId="0" fontId="8" fillId="0" borderId="40" xfId="0" applyFont="1" applyBorder="1" applyAlignment="1">
      <alignment horizontal="center" vertical="center"/>
    </xf>
    <xf numFmtId="0" fontId="8" fillId="0" borderId="41" xfId="0" applyFont="1" applyBorder="1" applyAlignment="1">
      <alignment horizontal="center" vertical="center"/>
    </xf>
    <xf numFmtId="1" fontId="11" fillId="0" borderId="56" xfId="0" applyNumberFormat="1" applyFont="1" applyBorder="1" applyAlignment="1">
      <alignment horizontal="center" vertical="center"/>
    </xf>
    <xf numFmtId="1" fontId="11" fillId="0" borderId="59" xfId="0" applyNumberFormat="1" applyFont="1" applyBorder="1" applyAlignment="1">
      <alignment horizontal="center" vertical="center"/>
    </xf>
    <xf numFmtId="0" fontId="13" fillId="0" borderId="55" xfId="0" applyFont="1" applyBorder="1" applyAlignment="1">
      <alignment horizontal="center" vertical="center"/>
    </xf>
    <xf numFmtId="0" fontId="13" fillId="0" borderId="56" xfId="0" applyFont="1" applyBorder="1" applyAlignment="1">
      <alignment horizontal="center" vertical="center"/>
    </xf>
    <xf numFmtId="0" fontId="13" fillId="0" borderId="59" xfId="0" applyFont="1" applyBorder="1" applyAlignment="1">
      <alignment horizontal="center" vertical="center"/>
    </xf>
    <xf numFmtId="0" fontId="13" fillId="0" borderId="3" xfId="0" applyFont="1" applyBorder="1" applyAlignment="1">
      <alignment horizontal="center"/>
    </xf>
    <xf numFmtId="0" fontId="14" fillId="0" borderId="3" xfId="0" applyFont="1" applyBorder="1" applyAlignment="1">
      <alignment horizontal="left"/>
    </xf>
    <xf numFmtId="0" fontId="0" fillId="0" borderId="36" xfId="0" applyBorder="1" applyAlignment="1">
      <alignment horizontal="center"/>
    </xf>
    <xf numFmtId="0" fontId="0" fillId="0" borderId="1" xfId="0" applyBorder="1" applyAlignment="1">
      <alignment horizontal="center"/>
    </xf>
    <xf numFmtId="0" fontId="5" fillId="0" borderId="39" xfId="0" applyFont="1" applyBorder="1" applyAlignment="1">
      <alignment horizontal="center"/>
    </xf>
    <xf numFmtId="0" fontId="0" fillId="0" borderId="40" xfId="0" applyBorder="1" applyAlignment="1">
      <alignment horizontal="center"/>
    </xf>
    <xf numFmtId="0" fontId="6" fillId="0" borderId="3" xfId="0" applyFont="1" applyBorder="1" applyAlignment="1">
      <alignment horizontal="center" vertical="center"/>
    </xf>
    <xf numFmtId="0" fontId="0" fillId="0" borderId="41" xfId="0" applyBorder="1" applyAlignment="1">
      <alignment horizontal="center"/>
    </xf>
    <xf numFmtId="0" fontId="0" fillId="0" borderId="2" xfId="0" applyBorder="1" applyAlignment="1">
      <alignment horizontal="center"/>
    </xf>
    <xf numFmtId="0" fontId="0" fillId="0" borderId="0" xfId="0" applyAlignment="1">
      <alignment horizontal="center" vertical="center"/>
    </xf>
    <xf numFmtId="0" fontId="13" fillId="0" borderId="36" xfId="0" applyFont="1" applyBorder="1" applyAlignment="1">
      <alignment horizontal="center"/>
    </xf>
    <xf numFmtId="0" fontId="13" fillId="0" borderId="1" xfId="0" applyFont="1" applyBorder="1" applyAlignment="1">
      <alignment horizontal="center"/>
    </xf>
    <xf numFmtId="0" fontId="5" fillId="0" borderId="36" xfId="0" applyFont="1" applyBorder="1" applyAlignment="1">
      <alignment horizontal="center" vertical="center" wrapText="1"/>
    </xf>
    <xf numFmtId="0" fontId="0" fillId="0" borderId="2" xfId="0" applyBorder="1" applyAlignment="1">
      <alignment horizontal="center" vertical="center" wrapText="1"/>
    </xf>
    <xf numFmtId="0" fontId="0" fillId="0" borderId="39" xfId="0" applyBorder="1" applyAlignment="1">
      <alignment horizontal="center" vertical="center" wrapText="1"/>
    </xf>
    <xf numFmtId="0" fontId="0" fillId="0" borderId="41" xfId="0" applyBorder="1" applyAlignment="1">
      <alignment horizontal="center" vertical="center" wrapText="1"/>
    </xf>
    <xf numFmtId="168" fontId="13" fillId="0" borderId="3" xfId="0" applyNumberFormat="1" applyFont="1" applyBorder="1" applyAlignment="1">
      <alignment horizontal="center"/>
    </xf>
    <xf numFmtId="0" fontId="43" fillId="0" borderId="62" xfId="0" applyFont="1" applyBorder="1" applyAlignment="1">
      <alignment horizontal="center" vertical="center"/>
    </xf>
    <xf numFmtId="0" fontId="43" fillId="0" borderId="49" xfId="0" applyFont="1" applyBorder="1" applyAlignment="1">
      <alignment horizontal="center" vertical="center"/>
    </xf>
    <xf numFmtId="0" fontId="43" fillId="0" borderId="50" xfId="0" applyFont="1" applyBorder="1" applyAlignment="1">
      <alignment horizontal="center" vertical="center"/>
    </xf>
    <xf numFmtId="0" fontId="43" fillId="0" borderId="63" xfId="0" applyFont="1" applyBorder="1" applyAlignment="1">
      <alignment horizontal="center" vertical="center"/>
    </xf>
    <xf numFmtId="0" fontId="43" fillId="0" borderId="22" xfId="0" applyFont="1" applyBorder="1" applyAlignment="1">
      <alignment horizontal="center" vertical="center"/>
    </xf>
    <xf numFmtId="0" fontId="43" fillId="0" borderId="23" xfId="0" applyFont="1" applyBorder="1" applyAlignment="1">
      <alignment horizontal="center" vertical="center"/>
    </xf>
    <xf numFmtId="0" fontId="12" fillId="0" borderId="3" xfId="0" applyFont="1" applyBorder="1" applyAlignment="1">
      <alignment horizontal="left" vertical="center"/>
    </xf>
    <xf numFmtId="0" fontId="33" fillId="0" borderId="3" xfId="0" applyFont="1" applyBorder="1" applyAlignment="1">
      <alignment horizontal="center"/>
    </xf>
    <xf numFmtId="0" fontId="33" fillId="0" borderId="3" xfId="0" applyFont="1" applyBorder="1" applyAlignment="1">
      <alignment horizontal="center" vertical="center"/>
    </xf>
    <xf numFmtId="0" fontId="11" fillId="0" borderId="3" xfId="0" applyFont="1" applyBorder="1" applyAlignment="1">
      <alignment horizontal="center"/>
    </xf>
    <xf numFmtId="0" fontId="42" fillId="0" borderId="48" xfId="0" applyFont="1" applyBorder="1" applyAlignment="1">
      <alignment horizontal="center" vertical="center"/>
    </xf>
    <xf numFmtId="0" fontId="42" fillId="0" borderId="49" xfId="0" applyFont="1" applyBorder="1" applyAlignment="1">
      <alignment horizontal="center" vertical="center"/>
    </xf>
    <xf numFmtId="0" fontId="42" fillId="0" borderId="60" xfId="0" applyFont="1" applyBorder="1" applyAlignment="1">
      <alignment horizontal="center" vertical="center"/>
    </xf>
    <xf numFmtId="0" fontId="42" fillId="0" borderId="21" xfId="0" applyFont="1" applyBorder="1" applyAlignment="1">
      <alignment horizontal="center" vertical="center"/>
    </xf>
    <xf numFmtId="0" fontId="42" fillId="0" borderId="22" xfId="0" applyFont="1" applyBorder="1" applyAlignment="1">
      <alignment horizontal="center" vertical="center"/>
    </xf>
    <xf numFmtId="0" fontId="42" fillId="0" borderId="61" xfId="0" applyFont="1" applyBorder="1" applyAlignment="1">
      <alignment horizontal="center" vertical="center"/>
    </xf>
    <xf numFmtId="168" fontId="14" fillId="0" borderId="3" xfId="0" applyNumberFormat="1" applyFont="1" applyBorder="1" applyAlignment="1">
      <alignment horizontal="center"/>
    </xf>
    <xf numFmtId="165" fontId="14" fillId="0" borderId="3" xfId="0" applyNumberFormat="1" applyFont="1" applyBorder="1" applyAlignment="1">
      <alignment horizontal="center"/>
    </xf>
    <xf numFmtId="168" fontId="0" fillId="0" borderId="0" xfId="0" applyNumberFormat="1" applyAlignment="1">
      <alignment horizontal="center" vertical="center"/>
    </xf>
    <xf numFmtId="165" fontId="13" fillId="0" borderId="3" xfId="0" applyNumberFormat="1" applyFont="1" applyBorder="1" applyAlignment="1">
      <alignment horizontal="center"/>
    </xf>
    <xf numFmtId="0" fontId="11" fillId="0" borderId="46" xfId="0" applyFont="1" applyBorder="1" applyAlignment="1">
      <alignment horizontal="center"/>
    </xf>
    <xf numFmtId="0" fontId="13" fillId="0" borderId="55" xfId="0" applyFont="1" applyBorder="1" applyAlignment="1">
      <alignment horizontal="center"/>
    </xf>
    <xf numFmtId="0" fontId="13" fillId="0" borderId="56" xfId="0" applyFont="1" applyBorder="1" applyAlignment="1">
      <alignment horizontal="center"/>
    </xf>
    <xf numFmtId="0" fontId="13" fillId="0" borderId="59" xfId="0" applyFont="1" applyBorder="1" applyAlignment="1">
      <alignment horizontal="center"/>
    </xf>
    <xf numFmtId="0" fontId="13" fillId="0" borderId="46" xfId="0" applyFont="1" applyBorder="1" applyAlignment="1">
      <alignment horizontal="center"/>
    </xf>
    <xf numFmtId="0" fontId="33" fillId="0" borderId="46" xfId="0" applyFont="1" applyBorder="1" applyAlignment="1">
      <alignment horizontal="center"/>
    </xf>
    <xf numFmtId="0" fontId="79" fillId="78" borderId="101" xfId="0" applyFont="1" applyFill="1" applyBorder="1" applyAlignment="1">
      <alignment horizontal="center" vertical="center"/>
    </xf>
    <xf numFmtId="0" fontId="79" fillId="78" borderId="102" xfId="0" applyFont="1" applyFill="1" applyBorder="1" applyAlignment="1">
      <alignment horizontal="center" vertical="center"/>
    </xf>
    <xf numFmtId="0" fontId="79" fillId="78" borderId="103" xfId="0" applyFont="1" applyFill="1" applyBorder="1" applyAlignment="1">
      <alignment horizontal="center" vertical="center"/>
    </xf>
    <xf numFmtId="0" fontId="5" fillId="0" borderId="36" xfId="79" applyBorder="1" applyAlignment="1">
      <alignment horizontal="center" vertical="center"/>
    </xf>
    <xf numFmtId="0" fontId="5" fillId="0" borderId="1" xfId="79" applyBorder="1" applyAlignment="1">
      <alignment horizontal="center" vertical="center"/>
    </xf>
    <xf numFmtId="0" fontId="5" fillId="0" borderId="2" xfId="79" applyBorder="1" applyAlignment="1">
      <alignment horizontal="center" vertical="center"/>
    </xf>
    <xf numFmtId="0" fontId="5" fillId="0" borderId="37" xfId="79" applyBorder="1" applyAlignment="1">
      <alignment horizontal="center" vertical="center"/>
    </xf>
    <xf numFmtId="0" fontId="5" fillId="0" borderId="0" xfId="79" applyAlignment="1">
      <alignment horizontal="center" vertical="center"/>
    </xf>
    <xf numFmtId="0" fontId="5" fillId="0" borderId="38" xfId="79" applyBorder="1" applyAlignment="1">
      <alignment horizontal="center" vertical="center"/>
    </xf>
    <xf numFmtId="0" fontId="5" fillId="0" borderId="39" xfId="79" applyBorder="1" applyAlignment="1">
      <alignment horizontal="center" vertical="center"/>
    </xf>
    <xf numFmtId="0" fontId="5" fillId="0" borderId="40" xfId="79" applyBorder="1" applyAlignment="1">
      <alignment horizontal="center" vertical="center"/>
    </xf>
    <xf numFmtId="0" fontId="5" fillId="0" borderId="41" xfId="79" applyBorder="1" applyAlignment="1">
      <alignment horizontal="center" vertical="center"/>
    </xf>
    <xf numFmtId="1" fontId="13" fillId="0" borderId="36" xfId="79" applyNumberFormat="1" applyFont="1" applyBorder="1" applyAlignment="1">
      <alignment horizontal="center" vertical="center"/>
    </xf>
    <xf numFmtId="0" fontId="5" fillId="0" borderId="1" xfId="79" applyBorder="1"/>
    <xf numFmtId="0" fontId="5" fillId="0" borderId="2" xfId="79" applyBorder="1"/>
    <xf numFmtId="0" fontId="5" fillId="0" borderId="39" xfId="79" applyBorder="1"/>
    <xf numFmtId="0" fontId="5" fillId="0" borderId="40" xfId="79" applyBorder="1"/>
    <xf numFmtId="0" fontId="5" fillId="0" borderId="41" xfId="79" applyBorder="1"/>
    <xf numFmtId="1" fontId="13" fillId="0" borderId="1" xfId="79" applyNumberFormat="1" applyFont="1" applyBorder="1" applyAlignment="1">
      <alignment horizontal="center" vertical="center"/>
    </xf>
    <xf numFmtId="1" fontId="13" fillId="0" borderId="2" xfId="79" applyNumberFormat="1" applyFont="1" applyBorder="1" applyAlignment="1">
      <alignment horizontal="center" vertical="center"/>
    </xf>
    <xf numFmtId="1" fontId="13" fillId="0" borderId="37" xfId="79" applyNumberFormat="1" applyFont="1" applyBorder="1" applyAlignment="1">
      <alignment horizontal="center" vertical="center"/>
    </xf>
    <xf numFmtId="1" fontId="13" fillId="0" borderId="0" xfId="79" applyNumberFormat="1" applyFont="1" applyAlignment="1">
      <alignment horizontal="center" vertical="center"/>
    </xf>
    <xf numFmtId="1" fontId="13" fillId="0" borderId="38" xfId="79" applyNumberFormat="1" applyFont="1" applyBorder="1" applyAlignment="1">
      <alignment horizontal="center" vertical="center"/>
    </xf>
    <xf numFmtId="1" fontId="13" fillId="0" borderId="39" xfId="79" applyNumberFormat="1" applyFont="1" applyBorder="1" applyAlignment="1">
      <alignment horizontal="center" vertical="center"/>
    </xf>
    <xf numFmtId="1" fontId="13" fillId="0" borderId="40" xfId="79" applyNumberFormat="1" applyFont="1" applyBorder="1" applyAlignment="1">
      <alignment horizontal="center" vertical="center"/>
    </xf>
    <xf numFmtId="1" fontId="13" fillId="0" borderId="41" xfId="79" applyNumberFormat="1" applyFont="1" applyBorder="1" applyAlignment="1">
      <alignment horizontal="center" vertical="center"/>
    </xf>
    <xf numFmtId="0" fontId="11" fillId="0" borderId="55" xfId="79" applyFont="1" applyBorder="1" applyAlignment="1">
      <alignment horizontal="center" vertical="center"/>
    </xf>
    <xf numFmtId="0" fontId="11" fillId="0" borderId="56" xfId="79" applyFont="1" applyBorder="1" applyAlignment="1">
      <alignment horizontal="center" vertical="center"/>
    </xf>
    <xf numFmtId="0" fontId="11" fillId="0" borderId="59" xfId="79" applyFont="1" applyBorder="1" applyAlignment="1">
      <alignment horizontal="center" vertical="center"/>
    </xf>
    <xf numFmtId="1" fontId="11" fillId="0" borderId="56" xfId="79" applyNumberFormat="1" applyFont="1" applyBorder="1" applyAlignment="1">
      <alignment horizontal="center" vertical="center"/>
    </xf>
    <xf numFmtId="1" fontId="11" fillId="0" borderId="59" xfId="79" applyNumberFormat="1" applyFont="1" applyBorder="1" applyAlignment="1">
      <alignment horizontal="center" vertical="center"/>
    </xf>
    <xf numFmtId="0" fontId="14" fillId="0" borderId="55" xfId="79" applyFont="1" applyBorder="1" applyAlignment="1">
      <alignment horizontal="center" vertical="center"/>
    </xf>
    <xf numFmtId="0" fontId="5" fillId="0" borderId="56" xfId="79" applyBorder="1"/>
    <xf numFmtId="0" fontId="5" fillId="0" borderId="59" xfId="79" applyBorder="1"/>
    <xf numFmtId="0" fontId="5" fillId="0" borderId="55" xfId="79" applyBorder="1" applyAlignment="1">
      <alignment horizontal="center" vertical="center"/>
    </xf>
    <xf numFmtId="0" fontId="5" fillId="0" borderId="56" xfId="79" applyBorder="1" applyAlignment="1">
      <alignment horizontal="center" vertical="center"/>
    </xf>
    <xf numFmtId="0" fontId="7" fillId="0" borderId="39" xfId="79" applyFont="1" applyBorder="1" applyAlignment="1">
      <alignment horizontal="center" vertical="center"/>
    </xf>
    <xf numFmtId="0" fontId="7" fillId="0" borderId="40" xfId="79" applyFont="1" applyBorder="1" applyAlignment="1">
      <alignment horizontal="center" vertical="center"/>
    </xf>
    <xf numFmtId="0" fontId="7" fillId="0" borderId="41" xfId="79" applyFont="1" applyBorder="1" applyAlignment="1">
      <alignment horizontal="center" vertical="center"/>
    </xf>
    <xf numFmtId="0" fontId="6" fillId="0" borderId="3" xfId="79" applyFont="1" applyBorder="1" applyAlignment="1">
      <alignment horizontal="center" vertical="center"/>
    </xf>
    <xf numFmtId="0" fontId="5" fillId="0" borderId="3" xfId="79" applyBorder="1" applyAlignment="1">
      <alignment horizontal="center" vertical="center"/>
    </xf>
    <xf numFmtId="0" fontId="5" fillId="0" borderId="46" xfId="79" applyBorder="1" applyAlignment="1">
      <alignment horizontal="center" shrinkToFit="1"/>
    </xf>
    <xf numFmtId="165" fontId="5" fillId="0" borderId="46" xfId="79" applyNumberFormat="1" applyBorder="1" applyAlignment="1">
      <alignment horizontal="center" shrinkToFit="1"/>
    </xf>
    <xf numFmtId="0" fontId="37" fillId="0" borderId="47" xfId="0" applyFont="1" applyBorder="1" applyAlignment="1">
      <alignment vertical="center" textRotation="90"/>
    </xf>
    <xf numFmtId="0" fontId="15" fillId="0" borderId="3" xfId="31" applyFont="1" applyFill="1" applyBorder="1" applyAlignment="1">
      <alignment horizontal="center" vertical="center"/>
    </xf>
    <xf numFmtId="0" fontId="17" fillId="0" borderId="3" xfId="31" applyFont="1" applyFill="1" applyBorder="1" applyAlignment="1">
      <alignment horizontal="center" vertical="center"/>
    </xf>
    <xf numFmtId="0" fontId="13" fillId="0" borderId="3" xfId="0" applyFont="1" applyFill="1" applyBorder="1" applyAlignment="1">
      <alignment horizontal="center"/>
    </xf>
    <xf numFmtId="0" fontId="14" fillId="0" borderId="3" xfId="0" applyFont="1" applyFill="1" applyBorder="1" applyAlignment="1">
      <alignment horizontal="left"/>
    </xf>
    <xf numFmtId="0" fontId="7" fillId="0" borderId="3" xfId="0" applyFont="1" applyFill="1" applyBorder="1" applyAlignment="1">
      <alignment horizontal="right"/>
    </xf>
    <xf numFmtId="0" fontId="7" fillId="0" borderId="3" xfId="0" applyFont="1" applyFill="1" applyBorder="1" applyAlignment="1">
      <alignment horizontal="center"/>
    </xf>
    <xf numFmtId="168" fontId="7" fillId="0" borderId="3" xfId="0" applyNumberFormat="1" applyFont="1" applyFill="1" applyBorder="1" applyAlignment="1">
      <alignment horizontal="center"/>
    </xf>
    <xf numFmtId="0" fontId="17" fillId="0" borderId="3" xfId="31" applyFont="1" applyFill="1" applyBorder="1" applyAlignment="1">
      <alignment horizontal="center" vertical="center" shrinkToFit="1"/>
    </xf>
    <xf numFmtId="0" fontId="7" fillId="0" borderId="3" xfId="0" applyFont="1" applyFill="1" applyBorder="1" applyAlignment="1">
      <alignment horizontal="center" vertical="center" shrinkToFit="1"/>
    </xf>
    <xf numFmtId="0" fontId="15" fillId="0" borderId="3" xfId="31" applyFont="1" applyFill="1" applyBorder="1" applyAlignment="1">
      <alignment vertical="center"/>
    </xf>
    <xf numFmtId="0" fontId="14" fillId="0" borderId="3" xfId="0" applyFont="1" applyFill="1" applyBorder="1" applyAlignment="1">
      <alignment horizontal="center"/>
    </xf>
    <xf numFmtId="0" fontId="13" fillId="0" borderId="3" xfId="0" applyFont="1" applyFill="1" applyBorder="1" applyAlignment="1">
      <alignment horizontal="left"/>
    </xf>
    <xf numFmtId="168" fontId="13" fillId="0" borderId="3" xfId="0" applyNumberFormat="1" applyFont="1" applyFill="1" applyBorder="1" applyAlignment="1">
      <alignment horizontal="center"/>
    </xf>
    <xf numFmtId="0" fontId="15" fillId="0" borderId="3" xfId="31" applyFont="1" applyFill="1" applyBorder="1" applyAlignment="1" applyProtection="1">
      <alignment horizontal="center" vertical="center"/>
      <protection hidden="1"/>
    </xf>
    <xf numFmtId="0" fontId="17" fillId="0" borderId="3" xfId="31" applyFont="1" applyFill="1" applyBorder="1" applyAlignment="1" applyProtection="1">
      <alignment horizontal="center" vertical="center"/>
      <protection hidden="1"/>
    </xf>
    <xf numFmtId="0" fontId="16" fillId="0" borderId="3" xfId="31" applyFont="1" applyFill="1" applyBorder="1" applyAlignment="1">
      <alignment horizontal="center" vertical="center"/>
    </xf>
    <xf numFmtId="1" fontId="15" fillId="0" borderId="3" xfId="31" applyNumberFormat="1" applyFont="1" applyFill="1" applyBorder="1" applyAlignment="1" applyProtection="1">
      <alignment horizontal="center" vertical="center"/>
      <protection hidden="1"/>
    </xf>
    <xf numFmtId="0" fontId="15" fillId="0" borderId="3" xfId="31" applyFont="1" applyFill="1" applyBorder="1" applyAlignment="1" applyProtection="1">
      <alignment horizontal="center" vertical="center"/>
      <protection locked="0"/>
    </xf>
    <xf numFmtId="0" fontId="17" fillId="0" borderId="3" xfId="31" applyFont="1" applyFill="1" applyBorder="1" applyAlignment="1" applyProtection="1">
      <alignment horizontal="center" vertical="center"/>
      <protection locked="0"/>
    </xf>
    <xf numFmtId="0" fontId="18" fillId="0" borderId="3" xfId="31" applyFont="1" applyFill="1" applyBorder="1" applyAlignment="1" applyProtection="1">
      <alignment horizontal="center" vertical="center"/>
      <protection hidden="1"/>
    </xf>
    <xf numFmtId="0" fontId="84" fillId="0" borderId="6" xfId="27" applyFont="1" applyBorder="1" applyAlignment="1">
      <alignment horizontal="center" vertical="center"/>
    </xf>
  </cellXfs>
  <cellStyles count="80">
    <cellStyle name="20% - Ênfase1" xfId="51" builtinId="30" customBuiltin="1"/>
    <cellStyle name="20% - Ênfase1 2" xfId="1" xr:uid="{00000000-0005-0000-0000-000000000000}"/>
    <cellStyle name="20% - Ênfase1 3" xfId="2" xr:uid="{00000000-0005-0000-0000-000001000000}"/>
    <cellStyle name="20% - Ênfase2" xfId="54" builtinId="34" customBuiltin="1"/>
    <cellStyle name="20% - Ênfase2 2" xfId="3" xr:uid="{00000000-0005-0000-0000-000002000000}"/>
    <cellStyle name="20% - Ênfase2 3" xfId="4" xr:uid="{00000000-0005-0000-0000-000003000000}"/>
    <cellStyle name="20% - Ênfase3" xfId="57" builtinId="38" customBuiltin="1"/>
    <cellStyle name="20% - Ênfase3 2" xfId="5" xr:uid="{00000000-0005-0000-0000-000004000000}"/>
    <cellStyle name="20% - Ênfase3 3" xfId="6" xr:uid="{00000000-0005-0000-0000-000005000000}"/>
    <cellStyle name="20% - Ênfase4" xfId="60" builtinId="42" customBuiltin="1"/>
    <cellStyle name="20% - Ênfase4 2" xfId="7" xr:uid="{00000000-0005-0000-0000-000006000000}"/>
    <cellStyle name="20% - Ênfase4 3" xfId="8" xr:uid="{00000000-0005-0000-0000-000007000000}"/>
    <cellStyle name="20% - Ênfase5" xfId="63" builtinId="46" customBuiltin="1"/>
    <cellStyle name="20% - Ênfase5 2" xfId="9" xr:uid="{00000000-0005-0000-0000-000008000000}"/>
    <cellStyle name="20% - Ênfase5 3" xfId="10" xr:uid="{00000000-0005-0000-0000-000009000000}"/>
    <cellStyle name="20% - Ênfase6" xfId="66" builtinId="50" customBuiltin="1"/>
    <cellStyle name="20% - Ênfase6 2" xfId="11" xr:uid="{00000000-0005-0000-0000-00000A000000}"/>
    <cellStyle name="20% - Ênfase6 3" xfId="12" xr:uid="{00000000-0005-0000-0000-00000B000000}"/>
    <cellStyle name="40% - Ênfase1" xfId="52" builtinId="31" customBuiltin="1"/>
    <cellStyle name="40% - Ênfase1 2" xfId="13" xr:uid="{00000000-0005-0000-0000-00000C000000}"/>
    <cellStyle name="40% - Ênfase1 3" xfId="14" xr:uid="{00000000-0005-0000-0000-00000D000000}"/>
    <cellStyle name="40% - Ênfase2" xfId="55" builtinId="35" customBuiltin="1"/>
    <cellStyle name="40% - Ênfase2 2" xfId="15" xr:uid="{00000000-0005-0000-0000-00000E000000}"/>
    <cellStyle name="40% - Ênfase2 3" xfId="16" xr:uid="{00000000-0005-0000-0000-00000F000000}"/>
    <cellStyle name="40% - Ênfase3" xfId="58" builtinId="39" customBuiltin="1"/>
    <cellStyle name="40% - Ênfase3 2" xfId="17" xr:uid="{00000000-0005-0000-0000-000010000000}"/>
    <cellStyle name="40% - Ênfase3 3" xfId="18" xr:uid="{00000000-0005-0000-0000-000011000000}"/>
    <cellStyle name="40% - Ênfase4" xfId="61" builtinId="43" customBuiltin="1"/>
    <cellStyle name="40% - Ênfase4 2" xfId="19" xr:uid="{00000000-0005-0000-0000-000012000000}"/>
    <cellStyle name="40% - Ênfase4 3" xfId="20" xr:uid="{00000000-0005-0000-0000-000013000000}"/>
    <cellStyle name="40% - Ênfase5" xfId="64" builtinId="47" customBuiltin="1"/>
    <cellStyle name="40% - Ênfase5 2" xfId="21" xr:uid="{00000000-0005-0000-0000-000014000000}"/>
    <cellStyle name="40% - Ênfase5 3" xfId="22" xr:uid="{00000000-0005-0000-0000-000015000000}"/>
    <cellStyle name="40% - Ênfase6" xfId="67" builtinId="51" customBuiltin="1"/>
    <cellStyle name="40% - Ênfase6 2" xfId="23" xr:uid="{00000000-0005-0000-0000-000016000000}"/>
    <cellStyle name="40% - Ênfase6 3" xfId="24" xr:uid="{00000000-0005-0000-0000-000017000000}"/>
    <cellStyle name="60% - Ênfase1 2" xfId="72" xr:uid="{96BFF5DC-3B4F-4F41-999A-6E3EB70C4902}"/>
    <cellStyle name="60% - Ênfase2 2" xfId="73" xr:uid="{2C9671E8-0496-498C-9945-E057DFFCC07B}"/>
    <cellStyle name="60% - Ênfase3 2" xfId="74" xr:uid="{56976BF7-88C4-4323-8FF4-7BB7718B07AE}"/>
    <cellStyle name="60% - Ênfase4 2" xfId="75" xr:uid="{4C085EC7-EDF6-4FCB-95A4-FDF8D93E191A}"/>
    <cellStyle name="60% - Ênfase5 2" xfId="76" xr:uid="{4727D59E-E188-4F94-9686-9DC093640EB0}"/>
    <cellStyle name="60% - Ênfase6 2" xfId="77" xr:uid="{BEBBD97C-AAAB-4897-A571-146EE86FA761}"/>
    <cellStyle name="Bom" xfId="40" builtinId="26" customBuiltin="1"/>
    <cellStyle name="Cálculo" xfId="44" builtinId="22" customBuiltin="1"/>
    <cellStyle name="Célula de Verificação" xfId="46" builtinId="23" customBuiltin="1"/>
    <cellStyle name="Célula Vinculada" xfId="45" builtinId="24" customBuiltin="1"/>
    <cellStyle name="Ênfase1" xfId="50" builtinId="29" customBuiltin="1"/>
    <cellStyle name="Ênfase2" xfId="53" builtinId="33" customBuiltin="1"/>
    <cellStyle name="Ênfase3" xfId="56" builtinId="37" customBuiltin="1"/>
    <cellStyle name="Ênfase4" xfId="59" builtinId="41" customBuiltin="1"/>
    <cellStyle name="Ênfase5" xfId="62" builtinId="45" customBuiltin="1"/>
    <cellStyle name="Ênfase6" xfId="65" builtinId="49" customBuiltin="1"/>
    <cellStyle name="Entrada" xfId="42" builtinId="20" customBuiltin="1"/>
    <cellStyle name="Neutro 2" xfId="70" xr:uid="{B98B686D-033F-4019-93F1-4509F6B00957}"/>
    <cellStyle name="Normal" xfId="0" builtinId="0"/>
    <cellStyle name="Normal 2" xfId="25" xr:uid="{00000000-0005-0000-0000-000019000000}"/>
    <cellStyle name="Normal 2 2" xfId="26" xr:uid="{00000000-0005-0000-0000-00001A000000}"/>
    <cellStyle name="Normal 3" xfId="27" xr:uid="{00000000-0005-0000-0000-00001B000000}"/>
    <cellStyle name="Normal 4" xfId="68" xr:uid="{46175B81-9E91-436A-A035-67BA0162822A}"/>
    <cellStyle name="Normal 4 2" xfId="28" xr:uid="{00000000-0005-0000-0000-00001C000000}"/>
    <cellStyle name="Normal 5" xfId="29" xr:uid="{00000000-0005-0000-0000-00001D000000}"/>
    <cellStyle name="Normal 5 2" xfId="30" xr:uid="{00000000-0005-0000-0000-00001E000000}"/>
    <cellStyle name="Normal 6" xfId="79" xr:uid="{8FE89A7D-EB5E-491A-852D-83A4B57DE31D}"/>
    <cellStyle name="Normal_Lista de Recomendadas - 2007" xfId="31" xr:uid="{00000000-0005-0000-0000-00001F000000}"/>
    <cellStyle name="Nota 2" xfId="32" xr:uid="{00000000-0005-0000-0000-000020000000}"/>
    <cellStyle name="Nota 3" xfId="33" xr:uid="{00000000-0005-0000-0000-000021000000}"/>
    <cellStyle name="Nota 4" xfId="71" xr:uid="{893A6308-BF55-45B5-A6B2-505E4A19F93C}"/>
    <cellStyle name="Porcentagem" xfId="34" builtinId="5"/>
    <cellStyle name="Porcentagem 2 2" xfId="35" xr:uid="{00000000-0005-0000-0000-000023000000}"/>
    <cellStyle name="Ruim" xfId="41" builtinId="27" customBuiltin="1"/>
    <cellStyle name="Saída" xfId="43" builtinId="21" customBuiltin="1"/>
    <cellStyle name="Standard 2" xfId="78" xr:uid="{43F12B08-864D-4552-8A9F-7B874576D16E}"/>
    <cellStyle name="Texto de Aviso" xfId="47" builtinId="11" customBuiltin="1"/>
    <cellStyle name="Texto Explicativo" xfId="48" builtinId="53" customBuiltin="1"/>
    <cellStyle name="Título 1" xfId="36" builtinId="16" customBuiltin="1"/>
    <cellStyle name="Título 2" xfId="37" builtinId="17" customBuiltin="1"/>
    <cellStyle name="Título 3" xfId="38" builtinId="18" customBuiltin="1"/>
    <cellStyle name="Título 4" xfId="39" builtinId="19" customBuiltin="1"/>
    <cellStyle name="Título 5" xfId="69" xr:uid="{71B21050-9695-4E0C-BF79-735403FDB95A}"/>
    <cellStyle name="Total" xfId="49" builtinId="25" customBuiltin="1"/>
  </cellStyles>
  <dxfs count="1538">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theme="9" tint="0.59996337778862885"/>
        </patternFill>
      </fill>
    </dxf>
    <dxf>
      <font>
        <b/>
        <i val="0"/>
      </font>
      <fill>
        <patternFill>
          <bgColor rgb="FFFFFF99"/>
        </patternFill>
      </fill>
    </dxf>
    <dxf>
      <font>
        <b/>
        <i val="0"/>
        <color theme="0"/>
      </font>
      <fill>
        <patternFill>
          <bgColor theme="3" tint="-0.24994659260841701"/>
        </patternFill>
      </fill>
    </dxf>
    <dxf>
      <numFmt numFmtId="172" formatCode="&quot;Automatico&quot;"/>
    </dxf>
    <dxf>
      <font>
        <b/>
        <i val="0"/>
      </font>
      <fill>
        <patternFill>
          <bgColor rgb="FFFFFF99"/>
        </patternFill>
      </fill>
    </dxf>
    <dxf>
      <font>
        <b/>
        <i val="0"/>
      </font>
      <fill>
        <patternFill>
          <bgColor theme="9" tint="0.59996337778862885"/>
        </patternFill>
      </fill>
    </dxf>
    <dxf>
      <font>
        <b/>
        <i val="0"/>
      </font>
      <fill>
        <patternFill>
          <bgColor rgb="FFFFFF99"/>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theme="3" tint="0.39994506668294322"/>
        </patternFill>
      </fill>
    </dxf>
    <dxf>
      <font>
        <b/>
        <i val="0"/>
      </font>
      <fill>
        <patternFill>
          <bgColor theme="3" tint="0.39994506668294322"/>
        </patternFill>
      </fill>
    </dxf>
    <dxf>
      <font>
        <b/>
        <i val="0"/>
      </font>
      <fill>
        <patternFill>
          <bgColor theme="3" tint="0.39994506668294322"/>
        </patternFill>
      </fill>
    </dxf>
    <dxf>
      <font>
        <b/>
        <i val="0"/>
      </font>
      <fill>
        <patternFill>
          <bgColor rgb="FFFF0000"/>
        </patternFill>
      </fill>
    </dxf>
    <dxf>
      <font>
        <b/>
        <i val="0"/>
      </font>
      <fill>
        <patternFill>
          <bgColor rgb="FFFF0000"/>
        </patternFill>
      </fill>
    </dxf>
    <dxf>
      <font>
        <b/>
        <i val="0"/>
      </font>
      <fill>
        <patternFill>
          <bgColor theme="3" tint="0.39994506668294322"/>
        </patternFill>
      </fill>
    </dxf>
    <dxf>
      <font>
        <b/>
        <i val="0"/>
      </font>
      <fill>
        <patternFill>
          <bgColor rgb="FFFF0000"/>
        </patternFill>
      </fill>
    </dxf>
    <dxf>
      <font>
        <b/>
        <i val="0"/>
      </font>
      <fill>
        <patternFill>
          <bgColor rgb="FFFF0000"/>
        </patternFill>
      </fill>
    </dxf>
    <dxf>
      <font>
        <b/>
        <i val="0"/>
      </font>
      <fill>
        <patternFill>
          <bgColor theme="3" tint="0.39994506668294322"/>
        </patternFill>
      </fill>
    </dxf>
    <dxf>
      <font>
        <b/>
        <i val="0"/>
      </font>
      <fill>
        <patternFill>
          <bgColor theme="3" tint="0.39994506668294322"/>
        </patternFill>
      </fill>
    </dxf>
    <dxf>
      <font>
        <b/>
        <i val="0"/>
      </font>
      <fill>
        <patternFill>
          <bgColor theme="3" tint="0.39994506668294322"/>
        </patternFill>
      </fill>
    </dxf>
    <dxf>
      <font>
        <b/>
        <i val="0"/>
      </font>
      <fill>
        <patternFill>
          <bgColor theme="3" tint="0.39994506668294322"/>
        </patternFill>
      </fill>
    </dxf>
    <dxf>
      <font>
        <b/>
        <i val="0"/>
      </font>
      <fill>
        <patternFill>
          <bgColor theme="3" tint="0.39994506668294322"/>
        </patternFill>
      </fill>
    </dxf>
    <dxf>
      <font>
        <b/>
        <i val="0"/>
      </font>
      <fill>
        <patternFill>
          <bgColor theme="3" tint="0.39994506668294322"/>
        </patternFill>
      </fill>
    </dxf>
    <dxf>
      <font>
        <b/>
        <i val="0"/>
      </font>
      <fill>
        <patternFill>
          <bgColor theme="3" tint="0.39994506668294322"/>
        </patternFill>
      </fill>
    </dxf>
    <dxf>
      <font>
        <b/>
        <i val="0"/>
      </font>
      <fill>
        <patternFill>
          <bgColor theme="3" tint="0.39994506668294322"/>
        </patternFill>
      </fill>
    </dxf>
    <dxf>
      <font>
        <b/>
        <i val="0"/>
      </font>
      <fill>
        <patternFill>
          <bgColor theme="3" tint="0.39994506668294322"/>
        </patternFill>
      </fill>
    </dxf>
    <dxf>
      <font>
        <b/>
        <i val="0"/>
      </font>
      <fill>
        <patternFill>
          <bgColor theme="3" tint="0.39994506668294322"/>
        </patternFill>
      </fill>
    </dxf>
    <dxf>
      <font>
        <b/>
        <i val="0"/>
      </font>
      <fill>
        <patternFill>
          <bgColor theme="3" tint="0.39994506668294322"/>
        </patternFill>
      </fill>
    </dxf>
    <dxf>
      <font>
        <b/>
        <i val="0"/>
      </font>
      <fill>
        <patternFill>
          <bgColor theme="3" tint="0.39994506668294322"/>
        </patternFill>
      </fill>
    </dxf>
    <dxf>
      <font>
        <b/>
        <i val="0"/>
      </font>
      <fill>
        <patternFill>
          <bgColor theme="3" tint="0.39994506668294322"/>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6" tint="0.59996337778862885"/>
        </patternFill>
      </fill>
    </dxf>
    <dxf>
      <fill>
        <patternFill>
          <bgColor theme="5" tint="0.39994506668294322"/>
        </patternFill>
      </fill>
    </dxf>
    <dxf>
      <fill>
        <patternFill>
          <bgColor theme="6" tint="0.59996337778862885"/>
        </patternFill>
      </fill>
    </dxf>
    <dxf>
      <fill>
        <patternFill>
          <bgColor theme="5" tint="0.3999450666829432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FF00"/>
      </font>
      <fill>
        <patternFill>
          <bgColor rgb="FFFF0000"/>
        </patternFill>
      </fill>
    </dxf>
    <dxf>
      <fill>
        <patternFill>
          <bgColor rgb="FFFF0000"/>
        </patternFill>
      </fill>
    </dxf>
    <dxf>
      <font>
        <color rgb="FFFFC000"/>
      </font>
      <fill>
        <patternFill>
          <bgColor rgb="FFFF0000"/>
        </patternFill>
      </fill>
    </dxf>
    <dxf>
      <font>
        <color rgb="FFFFFF00"/>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C000"/>
      </font>
      <fill>
        <patternFill>
          <bgColor rgb="FFFF0000"/>
        </patternFill>
      </fill>
    </dxf>
    <dxf>
      <font>
        <color rgb="FFFFFF00"/>
      </font>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FF00"/>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6" tint="0.59996337778862885"/>
        </patternFill>
      </fill>
    </dxf>
    <dxf>
      <fill>
        <patternFill>
          <bgColor theme="5" tint="0.39994506668294322"/>
        </patternFill>
      </fill>
    </dxf>
    <dxf>
      <fill>
        <patternFill>
          <bgColor theme="6" tint="0.59996337778862885"/>
        </patternFill>
      </fill>
    </dxf>
    <dxf>
      <fill>
        <patternFill>
          <bgColor theme="5" tint="0.3999450666829432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6" tint="0.59996337778862885"/>
        </patternFill>
      </fill>
    </dxf>
    <dxf>
      <fill>
        <patternFill>
          <bgColor theme="5" tint="0.39994506668294322"/>
        </patternFill>
      </fill>
    </dxf>
    <dxf>
      <fill>
        <patternFill>
          <bgColor theme="6" tint="0.59996337778862885"/>
        </patternFill>
      </fill>
    </dxf>
    <dxf>
      <fill>
        <patternFill>
          <bgColor theme="5" tint="0.3999450666829432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FF00"/>
      </font>
      <fill>
        <patternFill>
          <bgColor rgb="FFFF0000"/>
        </patternFill>
      </fill>
    </dxf>
    <dxf>
      <fill>
        <patternFill>
          <bgColor rgb="FFFF0000"/>
        </patternFill>
      </fill>
    </dxf>
    <dxf>
      <font>
        <color rgb="FFFFC000"/>
      </font>
      <fill>
        <patternFill>
          <bgColor rgb="FFFF0000"/>
        </patternFill>
      </fill>
    </dxf>
    <dxf>
      <font>
        <color rgb="FFFFFF00"/>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numFmt numFmtId="0" formatCode="General"/>
    </dxf>
    <dxf>
      <numFmt numFmtId="0" formatCode="General"/>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fill>
        <patternFill patternType="none">
          <fgColor indexed="64"/>
          <bgColor indexed="65"/>
        </patternFill>
      </fill>
      <alignment horizontal="center" vertical="center" textRotation="0" wrapText="0" indent="0" justifyLastLine="0" shrinkToFit="0" readingOrder="0"/>
      <border diagonalUp="0" diagonalDown="0" outline="0">
        <left/>
        <right style="thin">
          <color indexed="64"/>
        </right>
        <top/>
        <bottom/>
      </border>
    </dxf>
    <dxf>
      <fill>
        <patternFill patternType="none">
          <fgColor indexed="64"/>
          <bgColor indexed="65"/>
        </patternFill>
      </fill>
      <alignment horizontal="center" vertical="center" textRotation="0" wrapText="0" indent="0" justifyLastLine="0" shrinkToFit="0" readingOrder="0"/>
    </dxf>
    <dxf>
      <numFmt numFmtId="30" formatCode="@"/>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dxf>
    <dxf>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dxf>
    <dxf>
      <fill>
        <patternFill patternType="none">
          <fgColor indexed="64"/>
          <bgColor auto="1"/>
        </patternFill>
      </fill>
    </dxf>
    <dxf>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dxf>
    <dxf>
      <fill>
        <patternFill patternType="none">
          <fgColor indexed="64"/>
          <bgColor auto="1"/>
        </patternFill>
      </fill>
    </dxf>
    <dxf>
      <fill>
        <patternFill patternType="none">
          <fgColor indexed="64"/>
          <bgColor auto="1"/>
        </patternFill>
      </fill>
      <alignment horizontal="center" vertical="center" textRotation="0" wrapText="0" indent="0" justifyLastLine="0" shrinkToFit="0" readingOrder="0"/>
    </dxf>
    <dxf>
      <border>
        <left style="thin">
          <color theme="1"/>
        </left>
      </border>
    </dxf>
    <dxf>
      <border>
        <left style="thin">
          <color theme="1"/>
        </left>
      </border>
    </dxf>
    <dxf>
      <border>
        <top style="thin">
          <color theme="1"/>
        </top>
      </border>
    </dxf>
    <dxf>
      <border>
        <top style="thin">
          <color theme="1"/>
        </top>
      </border>
    </dxf>
    <dxf>
      <font>
        <b/>
        <color theme="1"/>
      </font>
    </dxf>
    <dxf>
      <font>
        <b/>
        <color theme="1"/>
      </font>
    </dxf>
    <dxf>
      <font>
        <b/>
        <color theme="1"/>
      </font>
      <border>
        <top style="double">
          <color theme="1"/>
        </top>
      </border>
    </dxf>
    <dxf>
      <font>
        <b/>
        <color theme="0"/>
      </font>
      <fill>
        <patternFill patternType="solid">
          <fgColor theme="1"/>
          <bgColor theme="3" tint="-0.24994659260841701"/>
        </patternFill>
      </fill>
    </dxf>
    <dxf>
      <font>
        <color theme="3" tint="-0.24994659260841701"/>
      </font>
      <border>
        <left style="thin">
          <color theme="3" tint="-0.24994659260841701"/>
        </left>
        <right style="thin">
          <color theme="3" tint="-0.24994659260841701"/>
        </right>
        <top style="thin">
          <color theme="3" tint="-0.24994659260841701"/>
        </top>
        <bottom style="thin">
          <color theme="3" tint="-0.24994659260841701"/>
        </bottom>
      </border>
    </dxf>
    <dxf>
      <fill>
        <patternFill patternType="solid">
          <fgColor theme="3" tint="0.79998168889431442"/>
          <bgColor theme="0" tint="-0.14996795556505021"/>
        </patternFill>
      </fill>
    </dxf>
    <dxf>
      <fill>
        <patternFill patternType="solid">
          <fgColor theme="3" tint="0.79998168889431442"/>
          <bgColor theme="0" tint="-0.14996795556505021"/>
        </patternFill>
      </fill>
    </dxf>
    <dxf>
      <font>
        <b/>
        <color theme="1"/>
      </font>
    </dxf>
    <dxf>
      <font>
        <b/>
        <color theme="1"/>
      </font>
    </dxf>
    <dxf>
      <font>
        <b/>
        <color theme="1"/>
      </font>
      <border>
        <top style="thin">
          <color theme="1"/>
        </top>
      </border>
    </dxf>
    <dxf>
      <font>
        <b/>
        <i val="0"/>
        <color theme="3" tint="-0.24994659260841701"/>
      </font>
      <border>
        <bottom style="thin">
          <color theme="1"/>
        </bottom>
      </border>
    </dxf>
    <dxf>
      <font>
        <color theme="3" tint="-0.24994659260841701"/>
      </font>
      <border>
        <top style="thin">
          <color theme="3" tint="-0.24994659260841701"/>
        </top>
        <bottom style="thin">
          <color theme="3" tint="-0.24994659260841701"/>
        </bottom>
      </border>
    </dxf>
    <dxf>
      <fill>
        <patternFill patternType="solid">
          <fgColor theme="0" tint="-0.14999847407452621"/>
          <bgColor theme="0" tint="-0.14999847407452621"/>
        </patternFill>
      </fill>
    </dxf>
    <dxf>
      <fill>
        <patternFill patternType="solid">
          <fgColor theme="0" tint="-0.14999847407452621"/>
          <bgColor theme="0" tint="-0.14999847407452621"/>
        </patternFill>
      </fill>
    </dxf>
    <dxf>
      <font>
        <b/>
        <color theme="1"/>
      </font>
    </dxf>
    <dxf>
      <font>
        <b/>
        <color theme="1"/>
      </font>
    </dxf>
    <dxf>
      <font>
        <b/>
        <color theme="1"/>
      </font>
      <border>
        <top style="thin">
          <color theme="1"/>
        </top>
      </border>
    </dxf>
    <dxf>
      <font>
        <b/>
        <i val="0"/>
        <color theme="3" tint="-0.24994659260841701"/>
      </font>
      <border>
        <bottom style="thin">
          <color theme="3" tint="-0.24994659260841701"/>
        </bottom>
      </border>
    </dxf>
    <dxf>
      <font>
        <color theme="3" tint="-0.24994659260841701"/>
      </font>
      <border>
        <top style="thin">
          <color theme="3" tint="-0.24994659260841701"/>
        </top>
        <bottom style="thin">
          <color theme="3" tint="-0.24994659260841701"/>
        </bottom>
        <vertical style="thin">
          <color theme="3" tint="-0.24994659260841701"/>
        </vertical>
      </border>
    </dxf>
  </dxfs>
  <tableStyles count="3" defaultTableStyle="TableStyleMedium9" defaultPivotStyle="PivotStyleLight16">
    <tableStyle name="TableStyleLight1 2" pivot="0" count="7" xr9:uid="{543BB556-A30E-4391-BFB4-6DDBC0654A67}">
      <tableStyleElement type="wholeTable" dxfId="1537"/>
      <tableStyleElement type="headerRow" dxfId="1536"/>
      <tableStyleElement type="totalRow" dxfId="1535"/>
      <tableStyleElement type="firstColumn" dxfId="1534"/>
      <tableStyleElement type="lastColumn" dxfId="1533"/>
      <tableStyleElement type="firstRowStripe" dxfId="1532"/>
      <tableStyleElement type="firstColumnStripe" dxfId="1531"/>
    </tableStyle>
    <tableStyle name="TableStyleLight1 3" pivot="0" count="7" xr9:uid="{46910C32-2D29-4EDA-9822-BFD4503B9799}">
      <tableStyleElement type="wholeTable" dxfId="1530"/>
      <tableStyleElement type="headerRow" dxfId="1529"/>
      <tableStyleElement type="totalRow" dxfId="1528"/>
      <tableStyleElement type="firstColumn" dxfId="1527"/>
      <tableStyleElement type="lastColumn" dxfId="1526"/>
      <tableStyleElement type="firstRowStripe" dxfId="1525"/>
      <tableStyleElement type="firstColumnStripe" dxfId="1524"/>
    </tableStyle>
    <tableStyle name="TableStyleLight8 2" pivot="0" count="9" xr9:uid="{39BA5085-BC09-44BF-9FD8-824131C290D1}">
      <tableStyleElement type="wholeTable" dxfId="1523"/>
      <tableStyleElement type="headerRow" dxfId="1522"/>
      <tableStyleElement type="totalRow" dxfId="1521"/>
      <tableStyleElement type="firstColumn" dxfId="1520"/>
      <tableStyleElement type="lastColumn" dxfId="1519"/>
      <tableStyleElement type="firstRowStripe" dxfId="1518"/>
      <tableStyleElement type="secondRowStripe" dxfId="1517"/>
      <tableStyleElement type="firstColumnStripe" dxfId="1516"/>
      <tableStyleElement type="secondColumnStripe" dxfId="1515"/>
    </tableStyle>
  </tableStyles>
  <colors>
    <mruColors>
      <color rgb="FFB8CCE4"/>
      <color rgb="FFC5D9F1"/>
      <color rgb="FFFFFFCC"/>
      <color rgb="FF538DD5"/>
      <color rgb="FF92CDDC"/>
      <color rgb="FF8DB4E2"/>
      <color rgb="FFDAEEF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26" Type="http://schemas.openxmlformats.org/officeDocument/2006/relationships/customXml" Target="../customXml/item2.xml"/><Relationship Id="rId3" Type="http://schemas.openxmlformats.org/officeDocument/2006/relationships/worksheet" Target="worksheets/sheet3.xml"/><Relationship Id="rId21" Type="http://schemas.microsoft.com/office/2017/06/relationships/rdRichValue" Target="richData/rdrichvalue.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onnections" Target="connections.xml"/><Relationship Id="rId20" Type="http://schemas.microsoft.com/office/2022/10/relationships/richValueRel" Target="richData/richValueRel.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17/06/relationships/rdRichValueTypes" Target="richData/rdRichValueTypes.xml"/><Relationship Id="rId28"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06/relationships/rdRichValueStructure" Target="richData/rdrichvaluestructure.xml"/><Relationship Id="rId27"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6.png"/></Relationships>
</file>

<file path=xl/drawings/_rels/drawing4.xml.rels><?xml version="1.0" encoding="UTF-8" standalone="yes"?>
<Relationships xmlns="http://schemas.openxmlformats.org/package/2006/relationships"><Relationship Id="rId3" Type="http://schemas.openxmlformats.org/officeDocument/2006/relationships/image" Target="../media/image9.svg"/><Relationship Id="rId2" Type="http://schemas.openxmlformats.org/officeDocument/2006/relationships/image" Target="../media/image8.png"/><Relationship Id="rId1" Type="http://schemas.openxmlformats.org/officeDocument/2006/relationships/image" Target="../media/image6.png"/><Relationship Id="rId5" Type="http://schemas.openxmlformats.org/officeDocument/2006/relationships/image" Target="../media/image11.svg"/><Relationship Id="rId4" Type="http://schemas.openxmlformats.org/officeDocument/2006/relationships/image" Target="../media/image10.png"/></Relationships>
</file>

<file path=xl/drawings/_rels/drawing5.xml.rels><?xml version="1.0" encoding="UTF-8" standalone="yes"?>
<Relationships xmlns="http://schemas.openxmlformats.org/package/2006/relationships"><Relationship Id="rId1" Type="http://schemas.openxmlformats.org/officeDocument/2006/relationships/image" Target="../media/image6.png"/></Relationships>
</file>

<file path=xl/drawings/_rels/drawing6.xml.rels><?xml version="1.0" encoding="UTF-8" standalone="yes"?>
<Relationships xmlns="http://schemas.openxmlformats.org/package/2006/relationships"><Relationship Id="rId3" Type="http://schemas.openxmlformats.org/officeDocument/2006/relationships/image" Target="../media/image12.png"/><Relationship Id="rId2" Type="http://schemas.openxmlformats.org/officeDocument/2006/relationships/image" Target="../media/image9.svg"/><Relationship Id="rId1" Type="http://schemas.openxmlformats.org/officeDocument/2006/relationships/image" Target="../media/image8.png"/><Relationship Id="rId4" Type="http://schemas.openxmlformats.org/officeDocument/2006/relationships/image" Target="../media/image13.svg"/></Relationships>
</file>

<file path=xl/drawings/_rels/drawing7.xml.rels><?xml version="1.0" encoding="UTF-8" standalone="yes"?>
<Relationships xmlns="http://schemas.openxmlformats.org/package/2006/relationships"><Relationship Id="rId3" Type="http://schemas.openxmlformats.org/officeDocument/2006/relationships/image" Target="../media/image12.png"/><Relationship Id="rId2" Type="http://schemas.openxmlformats.org/officeDocument/2006/relationships/image" Target="../media/image9.svg"/><Relationship Id="rId1" Type="http://schemas.openxmlformats.org/officeDocument/2006/relationships/image" Target="../media/image8.png"/><Relationship Id="rId6" Type="http://schemas.openxmlformats.org/officeDocument/2006/relationships/image" Target="../media/image15.svg"/><Relationship Id="rId5" Type="http://schemas.openxmlformats.org/officeDocument/2006/relationships/image" Target="../media/image14.png"/><Relationship Id="rId4" Type="http://schemas.openxmlformats.org/officeDocument/2006/relationships/image" Target="../media/image13.svg"/></Relationships>
</file>

<file path=xl/drawings/_rels/drawing8.x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7.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7.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7.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24</xdr:col>
          <xdr:colOff>60960</xdr:colOff>
          <xdr:row>0</xdr:row>
          <xdr:rowOff>38100</xdr:rowOff>
        </xdr:from>
        <xdr:to>
          <xdr:col>24</xdr:col>
          <xdr:colOff>1623060</xdr:colOff>
          <xdr:row>0</xdr:row>
          <xdr:rowOff>373380</xdr:rowOff>
        </xdr:to>
        <xdr:sp macro="" textlink="">
          <xdr:nvSpPr>
            <xdr:cNvPr id="88216" name="Button 152" hidden="1">
              <a:extLst>
                <a:ext uri="{63B3BB69-23CF-44E3-9099-C40C66FF867C}">
                  <a14:compatExt spid="_x0000_s88216"/>
                </a:ext>
                <a:ext uri="{FF2B5EF4-FFF2-40B4-BE49-F238E27FC236}">
                  <a16:creationId xmlns:a16="http://schemas.microsoft.com/office/drawing/2014/main" id="{00000000-0008-0000-0400-0000985801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pt-BR" sz="1600" b="1" i="0" u="none" strike="noStrike" baseline="0">
                  <a:solidFill>
                    <a:srgbClr val="000000"/>
                  </a:solidFill>
                  <a:latin typeface="Arial"/>
                  <a:cs typeface="Arial"/>
                </a:rPr>
                <a:t>CALCULAR</a:t>
              </a:r>
            </a:p>
          </xdr:txBody>
        </xdr:sp>
        <xdr:clientData fPrintsWithSheet="0"/>
      </xdr:twoCellAnchor>
    </mc:Choice>
    <mc:Fallback/>
  </mc:AlternateContent>
  <xdr:twoCellAnchor editAs="oneCell">
    <xdr:from>
      <xdr:col>1</xdr:col>
      <xdr:colOff>107256</xdr:colOff>
      <xdr:row>333</xdr:row>
      <xdr:rowOff>128068</xdr:rowOff>
    </xdr:from>
    <xdr:to>
      <xdr:col>1</xdr:col>
      <xdr:colOff>1846142</xdr:colOff>
      <xdr:row>347</xdr:row>
      <xdr:rowOff>97949</xdr:rowOff>
    </xdr:to>
    <xdr:pic>
      <xdr:nvPicPr>
        <xdr:cNvPr id="4" name="Imagem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
        <a:stretch>
          <a:fillRect/>
        </a:stretch>
      </xdr:blipFill>
      <xdr:spPr>
        <a:xfrm>
          <a:off x="387403" y="64898068"/>
          <a:ext cx="1745871" cy="2647042"/>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12</xdr:col>
          <xdr:colOff>0</xdr:colOff>
          <xdr:row>590</xdr:row>
          <xdr:rowOff>0</xdr:rowOff>
        </xdr:from>
        <xdr:to>
          <xdr:col>13</xdr:col>
          <xdr:colOff>38100</xdr:colOff>
          <xdr:row>591</xdr:row>
          <xdr:rowOff>55245</xdr:rowOff>
        </xdr:to>
        <xdr:sp macro="" textlink="">
          <xdr:nvSpPr>
            <xdr:cNvPr id="97537" name="TempCombo" hidden="1">
              <a:extLst>
                <a:ext uri="{63B3BB69-23CF-44E3-9099-C40C66FF867C}">
                  <a14:compatExt spid="_x0000_s97537"/>
                </a:ext>
                <a:ext uri="{FF2B5EF4-FFF2-40B4-BE49-F238E27FC236}">
                  <a16:creationId xmlns:a16="http://schemas.microsoft.com/office/drawing/2014/main" id="{00000000-0008-0000-0400-0000017D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113967</xdr:colOff>
      <xdr:row>430</xdr:row>
      <xdr:rowOff>145098</xdr:rowOff>
    </xdr:from>
    <xdr:to>
      <xdr:col>1</xdr:col>
      <xdr:colOff>2022777</xdr:colOff>
      <xdr:row>440</xdr:row>
      <xdr:rowOff>134022</xdr:rowOff>
    </xdr:to>
    <xdr:pic>
      <xdr:nvPicPr>
        <xdr:cNvPr id="6" name="Picture 4" descr="3stein">
          <a:extLst>
            <a:ext uri="{FF2B5EF4-FFF2-40B4-BE49-F238E27FC236}">
              <a16:creationId xmlns:a16="http://schemas.microsoft.com/office/drawing/2014/main" id="{00000000-0008-0000-0400-000006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405320" y="79964598"/>
          <a:ext cx="1908810" cy="1880590"/>
        </a:xfrm>
        <a:prstGeom prst="rect">
          <a:avLst/>
        </a:prstGeom>
        <a:noFill/>
      </xdr:spPr>
    </xdr:pic>
    <xdr:clientData/>
  </xdr:twoCellAnchor>
  <xdr:twoCellAnchor>
    <xdr:from>
      <xdr:col>28</xdr:col>
      <xdr:colOff>78441</xdr:colOff>
      <xdr:row>1</xdr:row>
      <xdr:rowOff>93457</xdr:rowOff>
    </xdr:from>
    <xdr:to>
      <xdr:col>29</xdr:col>
      <xdr:colOff>67235</xdr:colOff>
      <xdr:row>1</xdr:row>
      <xdr:rowOff>399602</xdr:rowOff>
    </xdr:to>
    <xdr:sp macro="[0]!LADLE_TEMPLATE" textlink="">
      <xdr:nvSpPr>
        <xdr:cNvPr id="5" name="Retângulo: Cantos Arredondados 4">
          <a:extLst>
            <a:ext uri="{FF2B5EF4-FFF2-40B4-BE49-F238E27FC236}">
              <a16:creationId xmlns:a16="http://schemas.microsoft.com/office/drawing/2014/main" id="{00000000-0008-0000-0400-000005000000}"/>
            </a:ext>
          </a:extLst>
        </xdr:cNvPr>
        <xdr:cNvSpPr/>
      </xdr:nvSpPr>
      <xdr:spPr>
        <a:xfrm>
          <a:off x="18187147" y="474457"/>
          <a:ext cx="1299882" cy="30614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b="1"/>
            <a:t>GERAR TEMPLATE</a:t>
          </a:r>
        </a:p>
      </xdr:txBody>
    </xdr:sp>
    <xdr:clientData/>
  </xdr:twoCellAnchor>
  <xdr:twoCellAnchor editAs="oneCell">
    <xdr:from>
      <xdr:col>12</xdr:col>
      <xdr:colOff>31296</xdr:colOff>
      <xdr:row>624</xdr:row>
      <xdr:rowOff>52523</xdr:rowOff>
    </xdr:from>
    <xdr:to>
      <xdr:col>18</xdr:col>
      <xdr:colOff>22405</xdr:colOff>
      <xdr:row>634</xdr:row>
      <xdr:rowOff>16591</xdr:rowOff>
    </xdr:to>
    <xdr:pic>
      <xdr:nvPicPr>
        <xdr:cNvPr id="12" name="Imagem 11">
          <a:extLst>
            <a:ext uri="{FF2B5EF4-FFF2-40B4-BE49-F238E27FC236}">
              <a16:creationId xmlns:a16="http://schemas.microsoft.com/office/drawing/2014/main" id="{6C170A6C-D6EB-FE9C-39B0-54EB09BCC5B6}"/>
            </a:ext>
          </a:extLst>
        </xdr:cNvPr>
        <xdr:cNvPicPr>
          <a:picLocks noChangeAspect="1"/>
          <a:extLst>
            <a:ext uri="{53484399-7A02-498B-ADA4-41CD10E50FAC}">
              <aif:imageFormula xmlns:aif="http://schemas.microsoft.com/office/drawing/2022/imageformula" formula="'Memória TOTAL'!M625"/>
            </a:ext>
          </a:extLst>
        </xdr:cNvPicPr>
      </xdr:nvPicPr>
      <xdr:blipFill>
        <a:blip xmlns:r="http://schemas.openxmlformats.org/officeDocument/2006/relationships" r:embed="rId3"/>
        <a:stretch>
          <a:fillRect/>
        </a:stretch>
      </xdr:blipFill>
      <xdr:spPr>
        <a:xfrm>
          <a:off x="8658225" y="119414380"/>
          <a:ext cx="4559299" cy="1865258"/>
        </a:xfrm>
        <a:prstGeom prst="rect">
          <a:avLst/>
        </a:prstGeom>
      </xdr:spPr>
    </xdr:pic>
    <xdr:clientData/>
  </xdr:twoCellAnchor>
  <xdr:oneCellAnchor>
    <xdr:from>
      <xdr:col>1</xdr:col>
      <xdr:colOff>107256</xdr:colOff>
      <xdr:row>969</xdr:row>
      <xdr:rowOff>128068</xdr:rowOff>
    </xdr:from>
    <xdr:ext cx="1744601" cy="2629261"/>
    <xdr:pic>
      <xdr:nvPicPr>
        <xdr:cNvPr id="13" name="Imagem 12">
          <a:extLst>
            <a:ext uri="{FF2B5EF4-FFF2-40B4-BE49-F238E27FC236}">
              <a16:creationId xmlns:a16="http://schemas.microsoft.com/office/drawing/2014/main" id="{AEA0065A-5A32-4868-A818-E9EF7F962F23}"/>
            </a:ext>
          </a:extLst>
        </xdr:cNvPr>
        <xdr:cNvPicPr>
          <a:picLocks noChangeAspect="1"/>
        </xdr:cNvPicPr>
      </xdr:nvPicPr>
      <xdr:blipFill>
        <a:blip xmlns:r="http://schemas.openxmlformats.org/officeDocument/2006/relationships" r:embed="rId1"/>
        <a:stretch>
          <a:fillRect/>
        </a:stretch>
      </xdr:blipFill>
      <xdr:spPr>
        <a:xfrm>
          <a:off x="404708" y="64058235"/>
          <a:ext cx="1744601" cy="2629261"/>
        </a:xfrm>
        <a:prstGeom prst="rect">
          <a:avLst/>
        </a:prstGeom>
      </xdr:spPr>
    </xdr:pic>
    <xdr:clientData/>
  </xdr:oneCellAnchor>
  <xdr:oneCellAnchor>
    <xdr:from>
      <xdr:col>1</xdr:col>
      <xdr:colOff>113967</xdr:colOff>
      <xdr:row>1066</xdr:row>
      <xdr:rowOff>145098</xdr:rowOff>
    </xdr:from>
    <xdr:ext cx="1908810" cy="1892019"/>
    <xdr:pic>
      <xdr:nvPicPr>
        <xdr:cNvPr id="14" name="Picture 4" descr="3stein">
          <a:extLst>
            <a:ext uri="{FF2B5EF4-FFF2-40B4-BE49-F238E27FC236}">
              <a16:creationId xmlns:a16="http://schemas.microsoft.com/office/drawing/2014/main" id="{885C23C9-C751-422B-B18E-0001D9A4A433}"/>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413324" y="82548050"/>
          <a:ext cx="1908810" cy="1892019"/>
        </a:xfrm>
        <a:prstGeom prst="rect">
          <a:avLst/>
        </a:prstGeom>
        <a:noFill/>
      </xdr:spPr>
    </xdr:pic>
    <xdr:clientData/>
  </xdr:oneCellAnchor>
  <xdr:oneCellAnchor>
    <xdr:from>
      <xdr:col>12</xdr:col>
      <xdr:colOff>31296</xdr:colOff>
      <xdr:row>1260</xdr:row>
      <xdr:rowOff>52523</xdr:rowOff>
    </xdr:from>
    <xdr:ext cx="4561204" cy="1869068"/>
    <xdr:pic>
      <xdr:nvPicPr>
        <xdr:cNvPr id="15" name="Imagem 14">
          <a:extLst>
            <a:ext uri="{FF2B5EF4-FFF2-40B4-BE49-F238E27FC236}">
              <a16:creationId xmlns:a16="http://schemas.microsoft.com/office/drawing/2014/main" id="{993030B4-93CD-4C04-8357-93BCDEA0847D}"/>
            </a:ext>
          </a:extLst>
        </xdr:cNvPr>
        <xdr:cNvPicPr>
          <a:picLocks noChangeAspect="1"/>
          <a:extLst>
            <a:ext uri="{53484399-7A02-498B-ADA4-41CD10E50FAC}">
              <aif:imageFormula xmlns:aif="http://schemas.microsoft.com/office/drawing/2022/imageformula" formula="'Memória TOTAL'!M625"/>
            </a:ext>
          </a:extLst>
        </xdr:cNvPicPr>
      </xdr:nvPicPr>
      <xdr:blipFill>
        <a:blip xmlns:r="http://schemas.openxmlformats.org/officeDocument/2006/relationships" r:embed="rId3"/>
        <a:stretch>
          <a:fillRect/>
        </a:stretch>
      </xdr:blipFill>
      <xdr:spPr>
        <a:xfrm>
          <a:off x="8656320" y="119418190"/>
          <a:ext cx="4561204" cy="1869068"/>
        </a:xfrm>
        <a:prstGeom prst="rect">
          <a:avLst/>
        </a:prstGeom>
      </xdr:spPr>
    </xdr:pic>
    <xdr:clientData/>
  </xdr:oneCellAnchor>
</xdr:wsDr>
</file>

<file path=xl/drawings/drawing2.xml><?xml version="1.0" encoding="utf-8"?>
<xdr:wsDr xmlns:xdr="http://schemas.openxmlformats.org/drawingml/2006/spreadsheetDrawing" xmlns:a="http://schemas.openxmlformats.org/drawingml/2006/main">
  <xdr:twoCellAnchor>
    <xdr:from>
      <xdr:col>13</xdr:col>
      <xdr:colOff>80010</xdr:colOff>
      <xdr:row>1</xdr:row>
      <xdr:rowOff>11430</xdr:rowOff>
    </xdr:from>
    <xdr:to>
      <xdr:col>14</xdr:col>
      <xdr:colOff>750503</xdr:colOff>
      <xdr:row>1</xdr:row>
      <xdr:rowOff>133350</xdr:rowOff>
    </xdr:to>
    <xdr:sp macro="" textlink="">
      <xdr:nvSpPr>
        <xdr:cNvPr id="2" name="Texto 3">
          <a:extLst>
            <a:ext uri="{FF2B5EF4-FFF2-40B4-BE49-F238E27FC236}">
              <a16:creationId xmlns:a16="http://schemas.microsoft.com/office/drawing/2014/main" id="{00000000-0008-0000-0500-000002000000}"/>
            </a:ext>
          </a:extLst>
        </xdr:cNvPr>
        <xdr:cNvSpPr txBox="1">
          <a:spLocks noChangeArrowheads="1"/>
        </xdr:cNvSpPr>
      </xdr:nvSpPr>
      <xdr:spPr bwMode="auto">
        <a:xfrm>
          <a:off x="5695950" y="257175"/>
          <a:ext cx="1524000" cy="114300"/>
        </a:xfrm>
        <a:prstGeom prst="rect">
          <a:avLst/>
        </a:prstGeom>
        <a:solidFill>
          <a:srgbClr val="FFFFFF"/>
        </a:solidFill>
        <a:ln w="1">
          <a:noFill/>
          <a:miter lim="800000"/>
          <a:headEnd/>
          <a:tailEnd/>
        </a:ln>
      </xdr:spPr>
      <xdr:txBody>
        <a:bodyPr vertOverflow="clip" wrap="square" lIns="27432" tIns="18288" rIns="27432" bIns="18288" anchor="ctr" upright="1"/>
        <a:lstStyle/>
        <a:p>
          <a:pPr algn="ctr" rtl="0">
            <a:defRPr sz="1000"/>
          </a:pPr>
          <a:r>
            <a:rPr lang="pt-BR" sz="700" b="1" i="0" strike="noStrike">
              <a:solidFill>
                <a:srgbClr val="000000"/>
              </a:solidFill>
              <a:latin typeface="Times New Roman"/>
              <a:cs typeface="Times New Roman"/>
            </a:rPr>
            <a:t>Quantidade</a:t>
          </a:r>
        </a:p>
      </xdr:txBody>
    </xdr:sp>
    <xdr:clientData/>
  </xdr:twoCellAnchor>
  <xdr:twoCellAnchor>
    <xdr:from>
      <xdr:col>13</xdr:col>
      <xdr:colOff>66675</xdr:colOff>
      <xdr:row>1</xdr:row>
      <xdr:rowOff>171450</xdr:rowOff>
    </xdr:from>
    <xdr:to>
      <xdr:col>13</xdr:col>
      <xdr:colOff>775466</xdr:colOff>
      <xdr:row>1</xdr:row>
      <xdr:rowOff>300149</xdr:rowOff>
    </xdr:to>
    <xdr:sp macro="" textlink="">
      <xdr:nvSpPr>
        <xdr:cNvPr id="3" name="Texto 4">
          <a:extLst>
            <a:ext uri="{FF2B5EF4-FFF2-40B4-BE49-F238E27FC236}">
              <a16:creationId xmlns:a16="http://schemas.microsoft.com/office/drawing/2014/main" id="{00000000-0008-0000-0500-000003000000}"/>
            </a:ext>
          </a:extLst>
        </xdr:cNvPr>
        <xdr:cNvSpPr txBox="1">
          <a:spLocks noChangeArrowheads="1"/>
        </xdr:cNvSpPr>
      </xdr:nvSpPr>
      <xdr:spPr bwMode="auto">
        <a:xfrm>
          <a:off x="5676900" y="409575"/>
          <a:ext cx="704850" cy="133350"/>
        </a:xfrm>
        <a:prstGeom prst="rect">
          <a:avLst/>
        </a:prstGeom>
        <a:solidFill>
          <a:srgbClr val="FFFFFF"/>
        </a:solidFill>
        <a:ln w="1">
          <a:noFill/>
          <a:miter lim="800000"/>
          <a:headEnd/>
          <a:tailEnd/>
        </a:ln>
      </xdr:spPr>
      <xdr:txBody>
        <a:bodyPr vertOverflow="clip" wrap="square" lIns="27432" tIns="18288" rIns="27432" bIns="18288" anchor="ctr" upright="1"/>
        <a:lstStyle/>
        <a:p>
          <a:pPr algn="ctr" rtl="0">
            <a:defRPr sz="1000"/>
          </a:pPr>
          <a:r>
            <a:rPr lang="pt-BR" sz="700" b="1" i="0" strike="noStrike">
              <a:solidFill>
                <a:srgbClr val="000000"/>
              </a:solidFill>
              <a:latin typeface="Times New Roman"/>
              <a:cs typeface="Times New Roman"/>
            </a:rPr>
            <a:t>Calculada</a:t>
          </a:r>
        </a:p>
      </xdr:txBody>
    </xdr:sp>
    <xdr:clientData/>
  </xdr:twoCellAnchor>
  <xdr:twoCellAnchor>
    <xdr:from>
      <xdr:col>14</xdr:col>
      <xdr:colOff>66675</xdr:colOff>
      <xdr:row>1</xdr:row>
      <xdr:rowOff>171450</xdr:rowOff>
    </xdr:from>
    <xdr:to>
      <xdr:col>14</xdr:col>
      <xdr:colOff>779164</xdr:colOff>
      <xdr:row>1</xdr:row>
      <xdr:rowOff>300149</xdr:rowOff>
    </xdr:to>
    <xdr:sp macro="" textlink="">
      <xdr:nvSpPr>
        <xdr:cNvPr id="4" name="Texto 5">
          <a:extLst>
            <a:ext uri="{FF2B5EF4-FFF2-40B4-BE49-F238E27FC236}">
              <a16:creationId xmlns:a16="http://schemas.microsoft.com/office/drawing/2014/main" id="{00000000-0008-0000-0500-000004000000}"/>
            </a:ext>
          </a:extLst>
        </xdr:cNvPr>
        <xdr:cNvSpPr txBox="1">
          <a:spLocks noChangeArrowheads="1"/>
        </xdr:cNvSpPr>
      </xdr:nvSpPr>
      <xdr:spPr bwMode="auto">
        <a:xfrm>
          <a:off x="6524625" y="409575"/>
          <a:ext cx="723900" cy="133350"/>
        </a:xfrm>
        <a:prstGeom prst="rect">
          <a:avLst/>
        </a:prstGeom>
        <a:solidFill>
          <a:srgbClr val="FFFFFF"/>
        </a:solidFill>
        <a:ln w="1">
          <a:noFill/>
          <a:miter lim="800000"/>
          <a:headEnd/>
          <a:tailEnd/>
        </a:ln>
      </xdr:spPr>
      <xdr:txBody>
        <a:bodyPr vertOverflow="clip" wrap="square" lIns="27432" tIns="18288" rIns="27432" bIns="18288" anchor="ctr" upright="1"/>
        <a:lstStyle/>
        <a:p>
          <a:pPr algn="ctr" rtl="0">
            <a:defRPr sz="1000"/>
          </a:pPr>
          <a:r>
            <a:rPr lang="pt-BR" sz="700" b="1" i="0" strike="noStrike">
              <a:solidFill>
                <a:srgbClr val="000000"/>
              </a:solidFill>
              <a:latin typeface="Times New Roman"/>
              <a:cs typeface="Times New Roman"/>
            </a:rPr>
            <a:t>Recomendada</a:t>
          </a:r>
        </a:p>
      </xdr:txBody>
    </xdr:sp>
    <xdr:clientData/>
  </xdr:twoCellAnchor>
  <xdr:twoCellAnchor>
    <xdr:from>
      <xdr:col>13</xdr:col>
      <xdr:colOff>0</xdr:colOff>
      <xdr:row>1</xdr:row>
      <xdr:rowOff>152400</xdr:rowOff>
    </xdr:from>
    <xdr:to>
      <xdr:col>15</xdr:col>
      <xdr:colOff>0</xdr:colOff>
      <xdr:row>1</xdr:row>
      <xdr:rowOff>152400</xdr:rowOff>
    </xdr:to>
    <xdr:sp macro="" textlink="">
      <xdr:nvSpPr>
        <xdr:cNvPr id="93181" name="Line 4">
          <a:extLst>
            <a:ext uri="{FF2B5EF4-FFF2-40B4-BE49-F238E27FC236}">
              <a16:creationId xmlns:a16="http://schemas.microsoft.com/office/drawing/2014/main" id="{00000000-0008-0000-0500-0000FD6B0100}"/>
            </a:ext>
          </a:extLst>
        </xdr:cNvPr>
        <xdr:cNvSpPr>
          <a:spLocks noChangeShapeType="1"/>
        </xdr:cNvSpPr>
      </xdr:nvSpPr>
      <xdr:spPr bwMode="auto">
        <a:xfrm flipH="1" flipV="1">
          <a:off x="5610225" y="390525"/>
          <a:ext cx="1695450" cy="0"/>
        </a:xfrm>
        <a:prstGeom prst="line">
          <a:avLst/>
        </a:prstGeom>
        <a:noFill/>
        <a:ln w="1">
          <a:solidFill>
            <a:srgbClr val="000000"/>
          </a:solidFill>
          <a:round/>
          <a:headEnd/>
          <a:tailEn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38</xdr:col>
          <xdr:colOff>30480</xdr:colOff>
          <xdr:row>0</xdr:row>
          <xdr:rowOff>213360</xdr:rowOff>
        </xdr:from>
        <xdr:to>
          <xdr:col>40</xdr:col>
          <xdr:colOff>441960</xdr:colOff>
          <xdr:row>2</xdr:row>
          <xdr:rowOff>137160</xdr:rowOff>
        </xdr:to>
        <xdr:sp macro="" textlink="">
          <xdr:nvSpPr>
            <xdr:cNvPr id="72705" name="Button 1" hidden="1">
              <a:extLst>
                <a:ext uri="{63B3BB69-23CF-44E3-9099-C40C66FF867C}">
                  <a14:compatExt spid="_x0000_s72705"/>
                </a:ext>
                <a:ext uri="{FF2B5EF4-FFF2-40B4-BE49-F238E27FC236}">
                  <a16:creationId xmlns:a16="http://schemas.microsoft.com/office/drawing/2014/main" id="{00000000-0008-0000-0500-0000011C01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pt-BR" sz="1600" b="1" i="0" u="none" strike="noStrike" baseline="0">
                  <a:solidFill>
                    <a:srgbClr val="000000"/>
                  </a:solidFill>
                  <a:latin typeface="Arial"/>
                  <a:cs typeface="Arial"/>
                </a:rPr>
                <a:t>EDITAR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95250</xdr:colOff>
      <xdr:row>1</xdr:row>
      <xdr:rowOff>9525</xdr:rowOff>
    </xdr:from>
    <xdr:to>
      <xdr:col>6</xdr:col>
      <xdr:colOff>228600</xdr:colOff>
      <xdr:row>6</xdr:row>
      <xdr:rowOff>66675</xdr:rowOff>
    </xdr:to>
    <xdr:pic>
      <xdr:nvPicPr>
        <xdr:cNvPr id="95279" name="Imagem 2" descr="Descrição: cid:image002.png@01D34F58.D11CAC70">
          <a:extLst>
            <a:ext uri="{FF2B5EF4-FFF2-40B4-BE49-F238E27FC236}">
              <a16:creationId xmlns:a16="http://schemas.microsoft.com/office/drawing/2014/main" id="{00000000-0008-0000-0600-00002F7401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00050" y="171450"/>
          <a:ext cx="1371600" cy="809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1</xdr:col>
      <xdr:colOff>95250</xdr:colOff>
      <xdr:row>1</xdr:row>
      <xdr:rowOff>9525</xdr:rowOff>
    </xdr:from>
    <xdr:to>
      <xdr:col>6</xdr:col>
      <xdr:colOff>228600</xdr:colOff>
      <xdr:row>6</xdr:row>
      <xdr:rowOff>66675</xdr:rowOff>
    </xdr:to>
    <xdr:pic>
      <xdr:nvPicPr>
        <xdr:cNvPr id="83930" name="Imagem 2" descr="Descrição: cid:image002.png@01D34F58.D11CAC70">
          <a:extLst>
            <a:ext uri="{FF2B5EF4-FFF2-40B4-BE49-F238E27FC236}">
              <a16:creationId xmlns:a16="http://schemas.microsoft.com/office/drawing/2014/main" id="{00000000-0008-0000-0700-0000DA4701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00050" y="171450"/>
          <a:ext cx="1371600" cy="809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33</xdr:col>
      <xdr:colOff>0</xdr:colOff>
      <xdr:row>2</xdr:row>
      <xdr:rowOff>0</xdr:rowOff>
    </xdr:from>
    <xdr:to>
      <xdr:col>35</xdr:col>
      <xdr:colOff>224700</xdr:colOff>
      <xdr:row>6</xdr:row>
      <xdr:rowOff>133260</xdr:rowOff>
    </xdr:to>
    <xdr:grpSp>
      <xdr:nvGrpSpPr>
        <xdr:cNvPr id="2" name="Agrupar 1">
          <a:extLst>
            <a:ext uri="{FF2B5EF4-FFF2-40B4-BE49-F238E27FC236}">
              <a16:creationId xmlns:a16="http://schemas.microsoft.com/office/drawing/2014/main" id="{00000000-0008-0000-0700-000002000000}"/>
            </a:ext>
          </a:extLst>
        </xdr:cNvPr>
        <xdr:cNvGrpSpPr/>
      </xdr:nvGrpSpPr>
      <xdr:grpSpPr>
        <a:xfrm>
          <a:off x="8515350" y="323850"/>
          <a:ext cx="718095" cy="727620"/>
          <a:chOff x="3930015" y="194309"/>
          <a:chExt cx="762000" cy="674370"/>
        </a:xfrm>
        <a:effectLst>
          <a:outerShdw blurRad="50800" dist="38100" dir="2700000" algn="tl" rotWithShape="0">
            <a:prstClr val="black">
              <a:alpha val="40000"/>
            </a:prstClr>
          </a:outerShdw>
        </a:effectLst>
      </xdr:grpSpPr>
      <xdr:sp macro="[0]!createListSAP" textlink="">
        <xdr:nvSpPr>
          <xdr:cNvPr id="3" name="Retângulo: Cantos Arredondados 2" descr="Repetir com preenchimento sólido">
            <a:extLst>
              <a:ext uri="{FF2B5EF4-FFF2-40B4-BE49-F238E27FC236}">
                <a16:creationId xmlns:a16="http://schemas.microsoft.com/office/drawing/2014/main" id="{00000000-0008-0000-0700-000003000000}"/>
              </a:ext>
            </a:extLst>
          </xdr:cNvPr>
          <xdr:cNvSpPr/>
        </xdr:nvSpPr>
        <xdr:spPr>
          <a:xfrm>
            <a:off x="3930015" y="194309"/>
            <a:ext cx="762000" cy="674370"/>
          </a:xfrm>
          <a:prstGeom prst="roundRect">
            <a:avLst/>
          </a:prstGeom>
          <a:solidFill>
            <a:schemeClr val="tx2">
              <a:lumMod val="75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blipFill dpi="0" rotWithShape="1">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rcRect/>
                <a:stretch>
                  <a:fillRect/>
                </a:stretch>
              </a:blipFill>
            </a:endParaRPr>
          </a:p>
        </xdr:txBody>
      </xdr:sp>
      <xdr:pic macro="[0]!createListSAP">
        <xdr:nvPicPr>
          <xdr:cNvPr id="4" name="Gráfico 3" descr="Transferência com preenchimento sólido">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rcRect/>
          <a:stretch/>
        </xdr:blipFill>
        <xdr:spPr>
          <a:xfrm>
            <a:off x="4055426" y="301593"/>
            <a:ext cx="502277" cy="469117"/>
          </a:xfrm>
          <a:prstGeom prst="rect">
            <a:avLst/>
          </a:prstGeom>
        </xdr:spPr>
      </xdr:pic>
    </xdr:grp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95250</xdr:colOff>
      <xdr:row>1</xdr:row>
      <xdr:rowOff>9525</xdr:rowOff>
    </xdr:from>
    <xdr:to>
      <xdr:col>6</xdr:col>
      <xdr:colOff>228600</xdr:colOff>
      <xdr:row>6</xdr:row>
      <xdr:rowOff>66675</xdr:rowOff>
    </xdr:to>
    <xdr:pic>
      <xdr:nvPicPr>
        <xdr:cNvPr id="96269" name="Imagem 2" descr="Descrição: cid:image002.png@01D34F58.D11CAC70">
          <a:extLst>
            <a:ext uri="{FF2B5EF4-FFF2-40B4-BE49-F238E27FC236}">
              <a16:creationId xmlns:a16="http://schemas.microsoft.com/office/drawing/2014/main" id="{00000000-0008-0000-0800-00000D7801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00050" y="171450"/>
          <a:ext cx="1371600" cy="809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30</xdr:col>
          <xdr:colOff>251460</xdr:colOff>
          <xdr:row>5</xdr:row>
          <xdr:rowOff>152400</xdr:rowOff>
        </xdr:from>
        <xdr:to>
          <xdr:col>48</xdr:col>
          <xdr:colOff>251460</xdr:colOff>
          <xdr:row>8</xdr:row>
          <xdr:rowOff>106680</xdr:rowOff>
        </xdr:to>
        <xdr:sp macro="" textlink="">
          <xdr:nvSpPr>
            <xdr:cNvPr id="58124" name="Button 780" hidden="1">
              <a:extLst>
                <a:ext uri="{63B3BB69-23CF-44E3-9099-C40C66FF867C}">
                  <a14:compatExt spid="_x0000_s58124"/>
                </a:ext>
                <a:ext uri="{FF2B5EF4-FFF2-40B4-BE49-F238E27FC236}">
                  <a16:creationId xmlns:a16="http://schemas.microsoft.com/office/drawing/2014/main" id="{00000000-0008-0000-0800-00000CE3000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pt-BR" sz="1400" b="1" i="0" u="none" strike="noStrike" baseline="0">
                  <a:solidFill>
                    <a:srgbClr val="000000"/>
                  </a:solidFill>
                  <a:latin typeface="Arial"/>
                  <a:cs typeface="Arial"/>
                </a:rPr>
                <a:t>Converter Unidades - SI para INGLESAS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251460</xdr:colOff>
          <xdr:row>9</xdr:row>
          <xdr:rowOff>60960</xdr:rowOff>
        </xdr:from>
        <xdr:to>
          <xdr:col>48</xdr:col>
          <xdr:colOff>251460</xdr:colOff>
          <xdr:row>11</xdr:row>
          <xdr:rowOff>106680</xdr:rowOff>
        </xdr:to>
        <xdr:sp macro="" textlink="">
          <xdr:nvSpPr>
            <xdr:cNvPr id="58125" name="Button 781" hidden="1">
              <a:extLst>
                <a:ext uri="{63B3BB69-23CF-44E3-9099-C40C66FF867C}">
                  <a14:compatExt spid="_x0000_s58125"/>
                </a:ext>
                <a:ext uri="{FF2B5EF4-FFF2-40B4-BE49-F238E27FC236}">
                  <a16:creationId xmlns:a16="http://schemas.microsoft.com/office/drawing/2014/main" id="{00000000-0008-0000-0800-00000DE3000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pt-BR" sz="1400" b="1" i="0" u="none" strike="noStrike" baseline="0">
                  <a:solidFill>
                    <a:srgbClr val="000000"/>
                  </a:solidFill>
                  <a:latin typeface="Arial"/>
                  <a:cs typeface="Arial"/>
                </a:rPr>
                <a:t>Converter Unidades - INGLESAS para SI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228600</xdr:colOff>
          <xdr:row>13</xdr:row>
          <xdr:rowOff>30480</xdr:rowOff>
        </xdr:from>
        <xdr:to>
          <xdr:col>42</xdr:col>
          <xdr:colOff>137160</xdr:colOff>
          <xdr:row>16</xdr:row>
          <xdr:rowOff>99060</xdr:rowOff>
        </xdr:to>
        <xdr:sp macro="" textlink="">
          <xdr:nvSpPr>
            <xdr:cNvPr id="80537" name="Button 1689" hidden="1">
              <a:extLst>
                <a:ext uri="{63B3BB69-23CF-44E3-9099-C40C66FF867C}">
                  <a14:compatExt spid="_x0000_s80537"/>
                </a:ext>
                <a:ext uri="{FF2B5EF4-FFF2-40B4-BE49-F238E27FC236}">
                  <a16:creationId xmlns:a16="http://schemas.microsoft.com/office/drawing/2014/main" id="{00000000-0008-0000-0800-0000993A01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pt-BR" sz="1600" b="1" i="0" u="none" strike="noStrike" baseline="0">
                  <a:solidFill>
                    <a:srgbClr val="000000"/>
                  </a:solidFill>
                  <a:latin typeface="Arial"/>
                  <a:cs typeface="Arial"/>
                </a:rPr>
                <a:t>Salvar Lista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228600</xdr:colOff>
          <xdr:row>17</xdr:row>
          <xdr:rowOff>30480</xdr:rowOff>
        </xdr:from>
        <xdr:to>
          <xdr:col>42</xdr:col>
          <xdr:colOff>137160</xdr:colOff>
          <xdr:row>20</xdr:row>
          <xdr:rowOff>99060</xdr:rowOff>
        </xdr:to>
        <xdr:sp macro="" textlink="">
          <xdr:nvSpPr>
            <xdr:cNvPr id="80538" name="Button 1690" hidden="1">
              <a:extLst>
                <a:ext uri="{63B3BB69-23CF-44E3-9099-C40C66FF867C}">
                  <a14:compatExt spid="_x0000_s80538"/>
                </a:ext>
                <a:ext uri="{FF2B5EF4-FFF2-40B4-BE49-F238E27FC236}">
                  <a16:creationId xmlns:a16="http://schemas.microsoft.com/office/drawing/2014/main" id="{00000000-0008-0000-0800-00009A3A01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pt-BR" sz="1600" b="1" i="0" u="none" strike="noStrike" baseline="0">
                  <a:solidFill>
                    <a:srgbClr val="000000"/>
                  </a:solidFill>
                  <a:latin typeface="Arial"/>
                  <a:cs typeface="Arial"/>
                </a:rPr>
                <a:t>Lista Compilada</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6</xdr:col>
      <xdr:colOff>609599</xdr:colOff>
      <xdr:row>1</xdr:row>
      <xdr:rowOff>0</xdr:rowOff>
    </xdr:from>
    <xdr:to>
      <xdr:col>7</xdr:col>
      <xdr:colOff>539999</xdr:colOff>
      <xdr:row>4</xdr:row>
      <xdr:rowOff>21840</xdr:rowOff>
    </xdr:to>
    <xdr:grpSp>
      <xdr:nvGrpSpPr>
        <xdr:cNvPr id="2" name="Agrupar 1">
          <a:extLst>
            <a:ext uri="{FF2B5EF4-FFF2-40B4-BE49-F238E27FC236}">
              <a16:creationId xmlns:a16="http://schemas.microsoft.com/office/drawing/2014/main" id="{00000000-0008-0000-0900-000002000000}"/>
            </a:ext>
          </a:extLst>
        </xdr:cNvPr>
        <xdr:cNvGrpSpPr/>
      </xdr:nvGrpSpPr>
      <xdr:grpSpPr>
        <a:xfrm>
          <a:off x="8553449" y="171450"/>
          <a:ext cx="541905" cy="532380"/>
          <a:chOff x="3930015" y="194309"/>
          <a:chExt cx="762000" cy="674370"/>
        </a:xfrm>
        <a:effectLst>
          <a:outerShdw blurRad="50800" dist="38100" dir="2700000" algn="tl" rotWithShape="0">
            <a:prstClr val="black">
              <a:alpha val="40000"/>
            </a:prstClr>
          </a:outerShdw>
        </a:effectLst>
      </xdr:grpSpPr>
      <xdr:sp macro="[0]!Atualizar_Codigo" textlink="">
        <xdr:nvSpPr>
          <xdr:cNvPr id="3" name="Retângulo: Cantos Arredondados 2" descr="Repetir com preenchimento sólido">
            <a:extLst>
              <a:ext uri="{FF2B5EF4-FFF2-40B4-BE49-F238E27FC236}">
                <a16:creationId xmlns:a16="http://schemas.microsoft.com/office/drawing/2014/main" id="{00000000-0008-0000-0900-000003000000}"/>
              </a:ext>
            </a:extLst>
          </xdr:cNvPr>
          <xdr:cNvSpPr/>
        </xdr:nvSpPr>
        <xdr:spPr>
          <a:xfrm>
            <a:off x="3930015" y="194309"/>
            <a:ext cx="762000" cy="674370"/>
          </a:xfrm>
          <a:prstGeom prst="roundRect">
            <a:avLst/>
          </a:prstGeom>
          <a:solidFill>
            <a:schemeClr val="tx2">
              <a:lumMod val="75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blipFill dpi="0" rotWithShape="1">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rcRect/>
                <a:stretch>
                  <a:fillRect/>
                </a:stretch>
              </a:blipFill>
            </a:endParaRPr>
          </a:p>
        </xdr:txBody>
      </xdr:sp>
      <xdr:pic macro="[0]!Atualizar_Codigo">
        <xdr:nvPicPr>
          <xdr:cNvPr id="4" name="Gráfico 3" descr="Repetir com preenchimento sólido">
            <a:extLst>
              <a:ext uri="{FF2B5EF4-FFF2-40B4-BE49-F238E27FC236}">
                <a16:creationId xmlns:a16="http://schemas.microsoft.com/office/drawing/2014/main" id="{00000000-0008-0000-09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4079146" y="369646"/>
            <a:ext cx="455601" cy="357682"/>
          </a:xfrm>
          <a:prstGeom prst="rect">
            <a:avLst/>
          </a:prstGeom>
        </xdr:spPr>
      </xdr:pic>
    </xdr:grp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327656</xdr:colOff>
      <xdr:row>1</xdr:row>
      <xdr:rowOff>22857</xdr:rowOff>
    </xdr:from>
    <xdr:to>
      <xdr:col>2</xdr:col>
      <xdr:colOff>277106</xdr:colOff>
      <xdr:row>4</xdr:row>
      <xdr:rowOff>54222</xdr:rowOff>
    </xdr:to>
    <xdr:grpSp>
      <xdr:nvGrpSpPr>
        <xdr:cNvPr id="2" name="Agrupar 1">
          <a:extLst>
            <a:ext uri="{FF2B5EF4-FFF2-40B4-BE49-F238E27FC236}">
              <a16:creationId xmlns:a16="http://schemas.microsoft.com/office/drawing/2014/main" id="{00000000-0008-0000-0B00-000002000000}"/>
            </a:ext>
          </a:extLst>
        </xdr:cNvPr>
        <xdr:cNvGrpSpPr/>
      </xdr:nvGrpSpPr>
      <xdr:grpSpPr>
        <a:xfrm>
          <a:off x="5648321" y="190497"/>
          <a:ext cx="545715" cy="553335"/>
          <a:chOff x="3930015" y="194309"/>
          <a:chExt cx="762000" cy="674370"/>
        </a:xfrm>
        <a:effectLst>
          <a:outerShdw blurRad="50800" dist="38100" dir="2700000" algn="tl" rotWithShape="0">
            <a:prstClr val="black">
              <a:alpha val="40000"/>
            </a:prstClr>
          </a:outerShdw>
        </a:effectLst>
      </xdr:grpSpPr>
      <xdr:sp macro="[0]!Atualizar_Codigo" textlink="">
        <xdr:nvSpPr>
          <xdr:cNvPr id="3" name="Retângulo: Cantos Arredondados 2" descr="Repetir com preenchimento sólido">
            <a:extLst>
              <a:ext uri="{FF2B5EF4-FFF2-40B4-BE49-F238E27FC236}">
                <a16:creationId xmlns:a16="http://schemas.microsoft.com/office/drawing/2014/main" id="{00000000-0008-0000-0B00-000003000000}"/>
              </a:ext>
            </a:extLst>
          </xdr:cNvPr>
          <xdr:cNvSpPr/>
        </xdr:nvSpPr>
        <xdr:spPr>
          <a:xfrm>
            <a:off x="3930015" y="194309"/>
            <a:ext cx="762000" cy="674370"/>
          </a:xfrm>
          <a:prstGeom prst="roundRect">
            <a:avLst/>
          </a:prstGeom>
          <a:solidFill>
            <a:schemeClr val="tx2">
              <a:lumMod val="75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blipFill dpi="0" rotWithShape="1">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rcRect/>
                <a:stretch>
                  <a:fillRect/>
                </a:stretch>
              </a:blipFill>
            </a:endParaRPr>
          </a:p>
        </xdr:txBody>
      </xdr:sp>
      <xdr:pic macro="[0]!Atualizar_Codigo">
        <xdr:nvPicPr>
          <xdr:cNvPr id="4" name="Gráfico 3" descr="Repetir com preenchimento sólido">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4079146" y="369646"/>
            <a:ext cx="455601" cy="357682"/>
          </a:xfrm>
          <a:prstGeom prst="rect">
            <a:avLst/>
          </a:prstGeom>
        </xdr:spPr>
      </xdr:pic>
    </xdr:grpSp>
    <xdr:clientData/>
  </xdr:twoCellAnchor>
  <xdr:twoCellAnchor>
    <xdr:from>
      <xdr:col>2</xdr:col>
      <xdr:colOff>826770</xdr:colOff>
      <xdr:row>1</xdr:row>
      <xdr:rowOff>19050</xdr:rowOff>
    </xdr:from>
    <xdr:to>
      <xdr:col>3</xdr:col>
      <xdr:colOff>282825</xdr:colOff>
      <xdr:row>4</xdr:row>
      <xdr:rowOff>54225</xdr:rowOff>
    </xdr:to>
    <xdr:grpSp>
      <xdr:nvGrpSpPr>
        <xdr:cNvPr id="5" name="Agrupar 4">
          <a:extLst>
            <a:ext uri="{FF2B5EF4-FFF2-40B4-BE49-F238E27FC236}">
              <a16:creationId xmlns:a16="http://schemas.microsoft.com/office/drawing/2014/main" id="{00000000-0008-0000-0B00-000005000000}"/>
            </a:ext>
          </a:extLst>
        </xdr:cNvPr>
        <xdr:cNvGrpSpPr/>
      </xdr:nvGrpSpPr>
      <xdr:grpSpPr>
        <a:xfrm>
          <a:off x="6739890" y="186690"/>
          <a:ext cx="566670" cy="557145"/>
          <a:chOff x="3910965" y="1032509"/>
          <a:chExt cx="762000" cy="683895"/>
        </a:xfrm>
        <a:effectLst>
          <a:outerShdw blurRad="50800" dist="38100" dir="2700000" algn="tl" rotWithShape="0">
            <a:prstClr val="black">
              <a:alpha val="40000"/>
            </a:prstClr>
          </a:outerShdw>
        </a:effectLst>
      </xdr:grpSpPr>
      <xdr:sp macro="[0]!ExportarTxt" textlink="">
        <xdr:nvSpPr>
          <xdr:cNvPr id="6" name="Retângulo: Cantos Arredondados 5" descr="Repetir com preenchimento sólido">
            <a:extLst>
              <a:ext uri="{FF2B5EF4-FFF2-40B4-BE49-F238E27FC236}">
                <a16:creationId xmlns:a16="http://schemas.microsoft.com/office/drawing/2014/main" id="{00000000-0008-0000-0B00-000006000000}"/>
              </a:ext>
            </a:extLst>
          </xdr:cNvPr>
          <xdr:cNvSpPr/>
        </xdr:nvSpPr>
        <xdr:spPr>
          <a:xfrm>
            <a:off x="3910965" y="1032509"/>
            <a:ext cx="762000" cy="683895"/>
          </a:xfrm>
          <a:prstGeom prst="roundRect">
            <a:avLst/>
          </a:prstGeom>
          <a:solidFill>
            <a:schemeClr val="tx2">
              <a:lumMod val="75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blipFill dpi="0" rotWithShape="1">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rcRect/>
                <a:stretch>
                  <a:fillRect/>
                </a:stretch>
              </a:blipFill>
            </a:endParaRPr>
          </a:p>
        </xdr:txBody>
      </xdr:sp>
      <xdr:pic macro="[0]!ExportarTxt">
        <xdr:nvPicPr>
          <xdr:cNvPr id="7" name="Gráfico 6" descr="Disco com preenchimento sólido">
            <a:extLst>
              <a:ext uri="{FF2B5EF4-FFF2-40B4-BE49-F238E27FC236}">
                <a16:creationId xmlns:a16="http://schemas.microsoft.com/office/drawing/2014/main" id="{00000000-0008-0000-0B00-000007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rcRect/>
          <a:stretch/>
        </xdr:blipFill>
        <xdr:spPr>
          <a:xfrm>
            <a:off x="4055836" y="1188063"/>
            <a:ext cx="467864" cy="392721"/>
          </a:xfrm>
          <a:prstGeom prst="rect">
            <a:avLst/>
          </a:prstGeom>
        </xdr:spPr>
      </xdr:pic>
    </xdr:grp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95250</xdr:colOff>
      <xdr:row>1</xdr:row>
      <xdr:rowOff>9525</xdr:rowOff>
    </xdr:from>
    <xdr:to>
      <xdr:col>6</xdr:col>
      <xdr:colOff>228600</xdr:colOff>
      <xdr:row>6</xdr:row>
      <xdr:rowOff>66675</xdr:rowOff>
    </xdr:to>
    <xdr:pic>
      <xdr:nvPicPr>
        <xdr:cNvPr id="2" name="Imagem 2" descr="Descrição: cid:image002.png@01D34F58.D11CAC70">
          <a:extLst>
            <a:ext uri="{FF2B5EF4-FFF2-40B4-BE49-F238E27FC236}">
              <a16:creationId xmlns:a16="http://schemas.microsoft.com/office/drawing/2014/main" id="{00000000-0008-0000-0D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00050" y="171450"/>
          <a:ext cx="1371600" cy="809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dosExternos_1" adjustColumnWidth="0" connectionId="2" xr16:uid="{A1CDA63F-6960-491E-A354-C1AE460B60CB}" autoFormatId="16" applyNumberFormats="0" applyBorderFormats="0" applyFontFormats="0" applyPatternFormats="0" applyAlignmentFormats="0" applyWidthHeightFormats="0">
  <queryTableRefresh nextId="4" unboundColumnsRight="2">
    <queryTableFields count="3">
      <queryTableField id="1" name="Brand" tableColumnId="1"/>
      <queryTableField id="2" dataBound="0" tableColumnId="2"/>
      <queryTableField id="3" dataBound="0" tableColumnId="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dosExternos_2" adjustColumnWidth="0" connectionId="7" xr16:uid="{0493219B-4DE7-454E-905E-A605AF7C542B}" autoFormatId="16" applyNumberFormats="0" applyBorderFormats="0" applyFontFormats="0" applyPatternFormats="0" applyAlignmentFormats="0" applyWidthHeightFormats="0">
  <queryTableRefresh nextId="3" unboundColumnsRight="1">
    <queryTableFields count="2">
      <queryTableField id="1" name="Shape" tableColumnId="1"/>
      <queryTableField id="2" dataBound="0"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DadosExternos_2" connectionId="6" xr16:uid="{E5C98437-C0BF-4D0D-B3C1-EF83F97D7288}" autoFormatId="16" applyNumberFormats="0" applyBorderFormats="0" applyFontFormats="0" applyPatternFormats="0" applyAlignmentFormats="0" applyWidthHeightFormats="0">
  <queryTableRefresh nextId="12">
    <queryTableFields count="6">
      <queryTableField id="1" name="Item" tableColumnId="1"/>
      <queryTableField id="3" name="Shape" tableColumnId="3"/>
      <queryTableField id="2" name="Brand" tableColumnId="2"/>
      <queryTableField id="8" name="Add-On" tableColumnId="8"/>
      <queryTableField id="4" name="Theoretical quantity" tableColumnId="4"/>
      <queryTableField id="5" name="Order quantity" tableColumnId="5"/>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DadosExternos_3" connectionId="4" xr16:uid="{FD5972C6-7F6D-45A3-9C13-5EED9F57F77D}" autoFormatId="16" applyNumberFormats="0" applyBorderFormats="0" applyFontFormats="0" applyPatternFormats="0" applyAlignmentFormats="0" applyWidthHeightFormats="0">
  <queryTableRefresh nextId="3">
    <queryTableFields count="1">
      <queryTableField id="2" name="AutoHotkey.ahk" tableColumnId="1"/>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DadosExternos_1" connectionId="5" xr16:uid="{4F995CBC-E5A4-473B-B0E5-C6E9DDCFBDB8}" autoFormatId="16" applyNumberFormats="0" applyBorderFormats="0" applyFontFormats="0" applyPatternFormats="0" applyAlignmentFormats="0" applyWidthHeightFormats="0">
  <queryTableRefresh nextId="2">
    <queryTableFields count="1">
      <queryTableField id="1" name="Item" tableColumnId="1"/>
    </queryTableFields>
  </queryTableRefresh>
</queryTable>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00872F9-64FA-4BEB-A4F2-37F7D0003464}" name="Tabela1" displayName="Tabela1" ref="F1:G10" totalsRowShown="0">
  <tableColumns count="2">
    <tableColumn id="1" xr3:uid="{DD49B9D1-EA32-4BAF-9DDA-8AB718E7BD38}" name="Descrição"/>
    <tableColumn id="2" xr3:uid="{43ED6EEA-3EC5-4D2C-9960-ADBCE38CD5D5}" name="Valor Classificação"/>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83EB79-E81B-4D9E-89E3-7F4781D67AF3}" name="BRANDS" displayName="BRANDS" ref="A1:C9" tableType="queryTable" totalsRowShown="0" headerRowDxfId="1514" dataDxfId="1513">
  <autoFilter ref="A1:C9" xr:uid="{B083EB79-E81B-4D9E-89E3-7F4781D67AF3}">
    <filterColumn colId="0" hiddenButton="1"/>
    <filterColumn colId="1" hiddenButton="1"/>
    <filterColumn colId="2" hiddenButton="1"/>
  </autoFilter>
  <tableColumns count="3">
    <tableColumn id="1" xr3:uid="{5C0FDE9E-614A-41B6-875F-1639ED8601F7}" uniqueName="1" name="Brand" queryTableFieldId="1" dataDxfId="1512"/>
    <tableColumn id="2" xr3:uid="{DA505512-EDA9-4C2D-A54C-7BFFD538D6E1}" uniqueName="2" name="State" queryTableFieldId="2" dataDxfId="1511"/>
    <tableColumn id="3" xr3:uid="{1858C212-3B2E-4DE1-BD02-D83C3AEB2DAA}" uniqueName="3" name="Brand Type" queryTableFieldId="3" dataDxfId="1510"/>
  </tableColumns>
  <tableStyleInfo name="TableStyleLight1 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D7110FC-B102-4900-8348-8E3E09A39EF3}" name="SHAPES" displayName="SHAPES" ref="E1:F31" tableType="queryTable" totalsRowShown="0" headerRowDxfId="1509" dataDxfId="1508">
  <autoFilter ref="E1:F31" xr:uid="{AD7110FC-B102-4900-8348-8E3E09A39EF3}">
    <filterColumn colId="0" hiddenButton="1"/>
    <filterColumn colId="1" hiddenButton="1"/>
  </autoFilter>
  <tableColumns count="2">
    <tableColumn id="1" xr3:uid="{4C45D739-B918-4ECF-87C8-4F6105130A82}" uniqueName="1" name="Shape" queryTableFieldId="1" dataDxfId="1507"/>
    <tableColumn id="2" xr3:uid="{F2FF2CEA-1C57-47E4-8CA3-8B4F5B52E4AA}" uniqueName="2" name="State" queryTableFieldId="2" dataDxfId="1506"/>
  </tableColumns>
  <tableStyleInfo name="TableStyleLight1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E19AE23-79A8-47A7-A7D7-C15B9A2C3CAC}" name="MANUAL_SAP" displayName="MANUAL_SAP" ref="E2:J3" tableType="queryTable" insertRow="1" totalsRowShown="0">
  <autoFilter ref="E2:J3" xr:uid="{8E19AE23-79A8-47A7-A7D7-C15B9A2C3CAC}"/>
  <tableColumns count="6">
    <tableColumn id="1" xr3:uid="{27D3371E-4563-4B6F-BCE0-9194DC16F463}" uniqueName="1" name="Item" queryTableFieldId="1"/>
    <tableColumn id="3" xr3:uid="{E6419E08-BD02-4C68-A386-E2FEBD3801CE}" uniqueName="3" name="Shape" queryTableFieldId="3"/>
    <tableColumn id="2" xr3:uid="{4CE8DF74-A03A-4647-BF44-B0E23707F93F}" uniqueName="2" name="Brand" queryTableFieldId="2"/>
    <tableColumn id="8" xr3:uid="{D8B3FD51-659D-4A29-9B01-76FA71846560}" uniqueName="8" name="Add-On" queryTableFieldId="8"/>
    <tableColumn id="4" xr3:uid="{828D9F5C-4BC4-45BC-BAEA-22412B418445}" uniqueName="4" name="Theoretical quantity" queryTableFieldId="4"/>
    <tableColumn id="5" xr3:uid="{BE16B4E0-93F6-41DC-A01D-051D1BC584AA}" uniqueName="5" name="Order quantity" queryTableFieldId="5"/>
  </tableColumns>
  <tableStyleInfo name="TableStyleLight8 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816497D-6BD4-4D1F-B783-41DCFA450802}" name="FINAL_CODE_2" displayName="FINAL_CODE_2" ref="A1:A967" tableType="queryTable" totalsRowShown="0">
  <autoFilter ref="A1:A967" xr:uid="{E816497D-6BD4-4D1F-B783-41DCFA450802}">
    <filterColumn colId="0" hiddenButton="1"/>
  </autoFilter>
  <tableColumns count="1">
    <tableColumn id="1" xr3:uid="{31012002-7B0B-4DFA-B205-898179DBCD7A}" uniqueName="1" name="AutoHotkey.ahk" queryTableFieldId="2" dataDxfId="1485"/>
  </tableColumns>
  <tableStyleInfo name="TableStyleLight8 2" showFirstColumn="0" showLastColumn="0" showRowStripes="0"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95C7FDD-0BE4-4244-8B33-D282275971DD}" name="Tabela2" displayName="Tabela2" ref="A1:S38" totalsRowShown="0" headerRowDxfId="1505">
  <autoFilter ref="A1:S38" xr:uid="{195C7FDD-0BE4-4244-8B33-D282275971DD}">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tableColumns count="19">
    <tableColumn id="2" xr3:uid="{0DB6D875-F629-4B86-A97E-B83D3F4D70FD}" name="Item (Reference)" dataDxfId="1504">
      <calculatedColumnFormula array="1">IFERROR(IF(Tabela2[[#This Row],[State]]="Automatico",IF(Tabela2[[#This Row],[Shape]]="","",(ROW()-1)*10),INDEX(Tabela2[[#All],[Item (Reference)]],ROW()-1)),"")</calculatedColumnFormula>
    </tableColumn>
    <tableColumn id="14" xr3:uid="{55C418EF-B9D3-42C5-8522-B5192390BBED}" name="Item" dataDxfId="1503">
      <calculatedColumnFormula>IFERROR((ROW()-1)*10,"")</calculatedColumnFormula>
    </tableColumn>
    <tableColumn id="13" xr3:uid="{66D52ADE-ED62-41C0-8047-00CDAA726823}" name="State" dataDxfId="1502">
      <calculatedColumnFormula>IFERROR(IF(Tabela2[[#This Row],[Shape]]="","Automatico",IF(_xlfn.XLOOKUP(Tabela2[[#This Row],[Brand]],BRANDS[Brand],BRANDS[State])="Manual","Manual",IF(Tabela2[[#This Row],[Shape]]="-","Automatico",IF(_xlfn.XLOOKUP(Tabela2[[#This Row],[Shape]],SHAPES[Shape],SHAPES[State])="Manual","Manual","Automatico")))),"")</calculatedColumnFormula>
    </tableColumn>
    <tableColumn id="17" xr3:uid="{478B76BD-B1F6-4096-BF65-9B9368632CA9}" name="Brand Type" dataDxfId="1501">
      <calculatedColumnFormula>IFERROR(IF(Tabela2[[#This Row],[Shape]]="","Normal",IF(_xlfn.XLOOKUP(Tabela2[[#This Row],[Brand]],BRANDS[Brand],BRANDS[Brand Type])="","Normal",_xlfn.XLOOKUP(Tabela2[[#This Row],[Brand]],BRANDS[Brand],BRANDS[Brand Type]))),"")</calculatedColumnFormula>
    </tableColumn>
    <tableColumn id="3" xr3:uid="{56CC4561-5EAB-4F8B-9AAC-DF7754B0A9A4}" name="Brand" dataDxfId="1500"/>
    <tableColumn id="4" xr3:uid="{075435FB-71BB-4A57-9C82-E7EA34A5EF41}" name="Shape" dataDxfId="1499"/>
    <tableColumn id="5" xr3:uid="{3FA6835C-C244-44C5-B111-9C0398941240}" name="Qnt 1" dataDxfId="1498"/>
    <tableColumn id="6" xr3:uid="{20B2B5E6-D613-43A9-8396-554CFE3EFEE3}" name="Qnt 2" dataDxfId="1497"/>
    <tableColumn id="7" xr3:uid="{57607A83-3873-4335-8FC7-3E6ACAF4B0A4}" name="Qnt 1 (Reference)" dataDxfId="1496">
      <calculatedColumnFormula>IFERROR(IF(Tabela2[[#This Row],[Shape]]="","",IF(Tabela2[[#This Row],[Shape]]="-",Tabela2[[#This Row],[Qnt 1]]/1000,Tabela2[[#This Row],[Qnt 1]])),"")</calculatedColumnFormula>
    </tableColumn>
    <tableColumn id="8" xr3:uid="{8CBE1050-57BF-4C1D-8118-5722811AAAD2}" name="Qnt 2 (Reference)" dataDxfId="1495">
      <calculatedColumnFormula>IFERROR(IF(Tabela2[[#This Row],[Shape]]="","",IF(Tabela2[[#This Row],[Shape]]="-",Tabela2[[#This Row],[Qnt 2]]/1000,Tabela2[[#This Row],[Qnt 2]])),"")</calculatedColumnFormula>
    </tableColumn>
    <tableColumn id="15" xr3:uid="{B9B270BD-76D1-4B61-B0CB-F616FBC5EBCB}" name="Brand (Reference)" dataDxfId="1494">
      <calculatedColumnFormula array="1">IFERROR(IF(Tabela2[[#This Row],[Brand Type]]="Normal",Tabela2[[#This Row],[Brand]],_xlfn.CONCAT(MID(RIGHT(_xlfn.CONCAT(MID(Tabela2[[#This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 +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Row],[Brand]]))),1)),1)))-ROW(INDIRECT("1:" &amp;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calculatedColumnFormula>
    </tableColumn>
    <tableColumn id="16" xr3:uid="{3EB10294-62D2-4E4B-9037-B74D916D9C78}" name="Add-On" dataDxfId="1493">
      <calculatedColumnFormula array="1">IFERROR(IF(Tabela2[[#This Row],[Brand Type]]="Normal","",_xlfn.CONCAT(MID(LEFT(_xlfn.CONCAT(MID(Tabela2[[#This Row],[Brand]],1 + LEN(Tabela2[[#This Row],[Brand]])-ROW(INDIRECT("1:" &amp; LEN(Tabela2[[#This Row],[Brand]]))),1)),SEARCH(" ",_xlfn.CONCAT(MID(Tabela2[[#This Row],[Brand]],1 + LEN(Tabela2[[#This Row],[Brand]])-ROW(INDIRECT("1:" &amp; LEN(Tabela2[[#This Row],[Brand]]))),1)),1)-1),1 + LEN(LEFT(_xlfn.CONCAT(MID(Tabela2[[#This Row],[Brand]],1 + LEN(Tabela2[[#This Row],[Brand]])-ROW(INDIRECT("1:" &amp; LEN(Tabela2[[#This Row],[Brand]]))),1)),SEARCH(" ",_xlfn.CONCAT(MID(Tabela2[[#This Row],[Brand]],1 + LEN(Tabela2[[#This Row],[Brand]])-ROW(INDIRECT("1:" &amp; LEN(Tabela2[[#This Row],[Brand]]))),1)),1)-1))-ROW(INDIRECT("1:" &amp; LEN(LEFT(_xlfn.CONCAT(MID(Tabela2[[#This Row],[Brand]],1 + LEN(Tabela2[[#This Row],[Brand]])-ROW(INDIRECT("1:" &amp; LEN(Tabela2[[#This Row],[Brand]]))),1)),SEARCH(" ",_xlfn.CONCAT(MID(Tabela2[[#This Row],[Brand]],1 + LEN(Tabela2[[#This Row],[Brand]])-ROW(INDIRECT("1:" &amp; LEN(Tabela2[[#This Row],[Brand]]))),1)),1)-1)))),1))),"")</calculatedColumnFormula>
    </tableColumn>
    <tableColumn id="19" xr3:uid="{6F7C08CD-AD27-4593-8278-500237F1CB8A}" name="Delay1" dataDxfId="1492">
      <calculatedColumnFormula>IFERROR(IF(SAP_FINAL!$C$11="Office",2000,IF(SAP_FINAL!$C$11="VPN",3500,5000)),"")</calculatedColumnFormula>
    </tableColumn>
    <tableColumn id="18" xr3:uid="{51C70BE8-F616-4EEA-9924-4E9E90F802DA}" name="Delay2" dataDxfId="1491">
      <calculatedColumnFormula>IFERROR(IF(SAP_FINAL!$C$11="Office",2500,IF(SAP_FINAL!$C$11="VPN",4000,5000)),"")</calculatedColumnFormula>
    </tableColumn>
    <tableColumn id="9" xr3:uid="{2DFFBC59-C25C-4806-802F-60E667102557}" name="Reference1" dataDxfId="1490">
      <calculatedColumnFormula array="1">IFERROR(IF(ROW(Tabela2[[#This Row],[Brand]])=2,"Send, "&amp;Tabela2[[#This Row],[Item]]&amp;"|Send, ^{Right}|Send, ^{Right}|Send, ^{Right}|Send, " &amp;LEFT(TRIM(Tabela2[[#This Row],[Brand]]),38)&amp;"|Send, {Enter}",IF(Tabela2[[#This Row],[Item (Reference)]]&lt;&gt;"",IF(INDEX(Tabela2[[#All],[Item (Reference)]],ROW()-1)="",IF(Tabela2[[#This Row],[Shape]]="","Sleep, "&amp;Tabela2[[#This Row],[Delay2]]&amp;"|Send, ^{Left}|Send, "&amp;Tabela2[[#This Row],[Item]]&amp;"|Send, ^{Right}|Send, ^{Right}|Send, ^{Right}|Send, "&amp;LEFT(TRIM(Tabela2[[#This Row],[Brand]]),38)&amp;"|Send, {Enter}","Sleep, "&amp;Tabela2[[#This Row],[Delay1]]&amp;"|Send, ^{Left}|Send, "&amp;Tabela2[[#This Row],[Item]]&amp;"|Send, ^{Right}|Send, MAT_KONFIG|Send, {Enter}"),"Sleep, "&amp;Tabela2[[#This Row],[Delay2]]&amp;"|Send, ^{Left}|Send, "&amp;Tabela2[[#This Row],[Item]]&amp;"|Send, ^{Right}|Send, MAT_KONFIG|Send, {Enter}"),"Sleep, "&amp;Tabela2[[#This Row],[Delay2]]&amp;"|Send, ^{Left}|Send, "&amp;Tabela2[[#This Row],[Item]]&amp;"|Send, ^{Right}|Send, ^{Right}|Send, ^{Right}|Send, "&amp;LEFT(TRIM(Tabela2[[#This Row],[Brand]]),38)&amp;"|Send, {Enter}")),"")</calculatedColumnFormula>
    </tableColumn>
    <tableColumn id="10" xr3:uid="{FF8FDC7E-027C-4985-AD34-F8822433C26C}" name="Reference2" dataDxfId="1489">
      <calculatedColumnFormula>IFERROR("Sleep, "&amp;Tabela2[[#This Row],[Delay2]]&amp;"|Send, U|Send, {Tab}|Send, {Tab}|Send, {Tab}|Send, {Tab}|Send, {Tab}|Send, {Tab}|Send, "&amp;TRIM(Tabela2[[#This Row],[Brand]])&amp;"|Send, {Tab}|Send, {Tab}|Send, {Tab}|Send, {Tab}|Send, {Tab}|Send, {Tab}|Send, {Tab}|Send, {Tab}|Send, {Tab}|Send, "&amp;SUBSTITUTE(Tabela2[[#This Row],[Qnt 1 (Reference)]],".",",")&amp;"|Send, {Tab}|Send, {Tab}|Send, "&amp;SUBSTITUTE(Tabela2[[#This Row],[Qnt 2 (Reference)]],".",",")&amp;"|Send, {F3}","")</calculatedColumnFormula>
    </tableColumn>
    <tableColumn id="11" xr3:uid="{8D966149-7C95-42AE-8CE9-936ADC247FD9}" name="Reference3" dataDxfId="1488">
      <calculatedColumnFormula>IFERROR("Sleep, "&amp;Tabela2[[#This Row],[Delay2]]&amp;"|Send, {Down}|Send, "&amp;SUBSTITUTE(SUBSTITUTE(Tabela2[[#This Row],[Shape]],"+","{+}")," ","")&amp;"|Send, {Tab}|Send, {Tab}|Send, {Tab}|Send, {Tab}|Send, "&amp;Tabela2[[#This Row],[Brand (Reference)]]&amp;"|Send, {Tab}|Send, {Tab}|Send, {Tab}|"&amp;IF(Tabela2[[#This Row],[Brand Type]]="Normal","","Send, "&amp;Tabela2[[#This Row],[Add-On]]&amp;"|")&amp;"Send, {Tab}|Send, {Tab}|Send, {Tab}|Send, {Tab}|Send, {Tab}|Send, {Tab}|Send, "&amp;SUBSTITUTE(Tabela2[[#This Row],[Qnt 1 (Reference)]],".",",")&amp;"|Send, {Tab}|Send, {Tab}|Send, "&amp;SUBSTITUTE(Tabela2[[#This Row],[Qnt 2 (Reference)]],".",",")&amp;"|Send, {F3}","")</calculatedColumnFormula>
    </tableColumn>
    <tableColumn id="12" xr3:uid="{767E8C0B-923E-4248-A734-A7B06954C144}" name="Reference4" dataDxfId="1487">
      <calculatedColumnFormula>IFERROR(IF(Tabela2[[#This Row],[Item (Reference)]]="","",IF(Tabela2[[#This Row],[Shape]]="-",Tabela2[[#This Row],[Reference2]],Tabela2[[#This Row],[Reference3]])),"")</calculatedColumnFormula>
    </tableColumn>
    <tableColumn id="1" xr3:uid="{13529F86-2212-4D36-B619-6C041D627DB3}" name="Código" dataDxfId="1486">
      <calculatedColumnFormula>IFERROR(IF(Tabela2[[#This Row],[State]]="Automatico",Tabela2[[#This Row],[Reference1]]&amp;"|"&amp;Tabela2[[#This Row],[Reference4]],""),"")</calculatedColumnFormula>
    </tableColumn>
  </tableColumns>
  <tableStyleInfo name="TableStyleLight1 3"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D36C5E6-3061-4888-B5D2-874467C0441A}" name="ITEM_REFERENCE" displayName="ITEM_REFERENCE" ref="A1:A38" tableType="queryTable" totalsRowShown="0">
  <autoFilter ref="A1:A38" xr:uid="{DD36C5E6-3061-4888-B5D2-874467C0441A}"/>
  <tableColumns count="1">
    <tableColumn id="1" xr3:uid="{5BB6275C-A198-4DED-9072-50F63DC7B4B0}" uniqueName="1" name="Item" queryTableFieldId="1"/>
  </tableColumns>
  <tableStyleInfo name="TableStyleMedium7"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5.bin"/><Relationship Id="rId6" Type="http://schemas.openxmlformats.org/officeDocument/2006/relationships/ctrlProp" Target="../ctrlProps/ctrlProp1.xml"/><Relationship Id="rId5" Type="http://schemas.openxmlformats.org/officeDocument/2006/relationships/image" Target="../media/image2.emf"/><Relationship Id="rId4" Type="http://schemas.openxmlformats.org/officeDocument/2006/relationships/control" Target="../activeX/activeX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6.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5.vml"/><Relationship Id="rId7" Type="http://schemas.openxmlformats.org/officeDocument/2006/relationships/ctrlProp" Target="../ctrlProps/ctrlProp5.xml"/><Relationship Id="rId2" Type="http://schemas.openxmlformats.org/officeDocument/2006/relationships/drawing" Target="../drawings/drawing5.xml"/><Relationship Id="rId1" Type="http://schemas.openxmlformats.org/officeDocument/2006/relationships/printerSettings" Target="../printerSettings/printerSettings9.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vmlDrawing" Target="../drawings/vmlDrawing6.vml"/></Relationships>
</file>

<file path=xl/worksheets/_rels/sheet10.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6.xml"/><Relationship Id="rId1" Type="http://schemas.openxmlformats.org/officeDocument/2006/relationships/printerSettings" Target="../printerSettings/printerSettings10.bin"/><Relationship Id="rId4" Type="http://schemas.openxmlformats.org/officeDocument/2006/relationships/table" Target="../tables/table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11.bin"/><Relationship Id="rId6" Type="http://schemas.openxmlformats.org/officeDocument/2006/relationships/comments" Target="../comments2.xml"/><Relationship Id="rId5" Type="http://schemas.openxmlformats.org/officeDocument/2006/relationships/table" Target="../tables/table5.xml"/><Relationship Id="rId4" Type="http://schemas.openxmlformats.org/officeDocument/2006/relationships/table" Target="../tables/table4.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1"/>
  <dimension ref="A1:G13"/>
  <sheetViews>
    <sheetView showGridLines="0" workbookViewId="0">
      <selection activeCell="F11" sqref="F11"/>
    </sheetView>
  </sheetViews>
  <sheetFormatPr defaultRowHeight="13.2"/>
  <cols>
    <col min="1" max="1" width="14.44140625" style="1" bestFit="1" customWidth="1"/>
    <col min="2" max="2" width="37.33203125" style="1" customWidth="1"/>
    <col min="6" max="6" width="16.6640625" bestFit="1" customWidth="1"/>
    <col min="7" max="7" width="20.44140625" customWidth="1"/>
  </cols>
  <sheetData>
    <row r="1" spans="1:7">
      <c r="A1" s="13" t="s">
        <v>30</v>
      </c>
      <c r="B1" s="13" t="s">
        <v>24</v>
      </c>
      <c r="F1" t="s">
        <v>24</v>
      </c>
      <c r="G1" t="s">
        <v>2149</v>
      </c>
    </row>
    <row r="2" spans="1:7">
      <c r="A2" s="3" t="s">
        <v>2</v>
      </c>
      <c r="B2" s="3" t="s">
        <v>31</v>
      </c>
      <c r="F2" t="s">
        <v>2150</v>
      </c>
      <c r="G2">
        <v>1</v>
      </c>
    </row>
    <row r="3" spans="1:7">
      <c r="A3" s="3" t="s">
        <v>524</v>
      </c>
      <c r="B3" s="3" t="s">
        <v>32</v>
      </c>
      <c r="F3" t="s">
        <v>2151</v>
      </c>
      <c r="G3">
        <v>2</v>
      </c>
    </row>
    <row r="4" spans="1:7">
      <c r="A4" s="3" t="s">
        <v>29</v>
      </c>
      <c r="B4" s="3" t="s">
        <v>33</v>
      </c>
      <c r="F4" t="s">
        <v>2152</v>
      </c>
      <c r="G4">
        <v>3</v>
      </c>
    </row>
    <row r="5" spans="1:7">
      <c r="A5" s="3" t="s">
        <v>14</v>
      </c>
      <c r="B5" s="294" t="s">
        <v>1077</v>
      </c>
      <c r="F5" t="s">
        <v>2153</v>
      </c>
      <c r="G5">
        <v>4</v>
      </c>
    </row>
    <row r="6" spans="1:7">
      <c r="A6" s="3" t="s">
        <v>35</v>
      </c>
      <c r="B6" s="3" t="s">
        <v>34</v>
      </c>
      <c r="F6" t="s">
        <v>2154</v>
      </c>
      <c r="G6">
        <v>5</v>
      </c>
    </row>
    <row r="7" spans="1:7">
      <c r="A7" s="3" t="s">
        <v>75</v>
      </c>
      <c r="B7" s="3" t="s">
        <v>36</v>
      </c>
      <c r="F7" t="s">
        <v>2155</v>
      </c>
      <c r="G7">
        <v>6</v>
      </c>
    </row>
    <row r="8" spans="1:7">
      <c r="F8" t="s">
        <v>2156</v>
      </c>
      <c r="G8">
        <v>7</v>
      </c>
    </row>
    <row r="9" spans="1:7">
      <c r="F9" t="s">
        <v>2157</v>
      </c>
      <c r="G9">
        <v>8</v>
      </c>
    </row>
    <row r="10" spans="1:7">
      <c r="A10" s="3"/>
      <c r="B10" s="3"/>
      <c r="F10" t="s">
        <v>2158</v>
      </c>
      <c r="G10">
        <v>9</v>
      </c>
    </row>
    <row r="11" spans="1:7">
      <c r="A11" s="3"/>
      <c r="B11" s="3"/>
    </row>
    <row r="12" spans="1:7">
      <c r="A12" s="3"/>
      <c r="B12" s="3"/>
    </row>
    <row r="13" spans="1:7">
      <c r="A13" s="3"/>
      <c r="B13" s="3"/>
    </row>
  </sheetData>
  <phoneticPr fontId="0" type="noConversion"/>
  <pageMargins left="0.511811024" right="0.511811024" top="0.78740157499999996" bottom="0.78740157499999996" header="0.31496062000000002" footer="0.31496062000000002"/>
  <pageSetup paperSize="9" orientation="portrait" r:id="rId1"/>
  <headerFooter>
    <oddFooter>&amp;L
&amp;K808080&amp;"Trebuchet MS"CLASSIFICAÇÃO DO DOCUMENTO: INTERNO</oddFooter>
  </headerFooter>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2"/>
  <dimension ref="A1:A3"/>
  <sheetViews>
    <sheetView workbookViewId="0"/>
  </sheetViews>
  <sheetFormatPr defaultColWidth="9.33203125" defaultRowHeight="13.2"/>
  <cols>
    <col min="1" max="1" width="15.5546875" customWidth="1"/>
  </cols>
  <sheetData>
    <row r="1" spans="1:1">
      <c r="A1" s="58" t="s">
        <v>422</v>
      </c>
    </row>
    <row r="2" spans="1:1">
      <c r="A2" s="58" t="s">
        <v>423</v>
      </c>
    </row>
    <row r="3" spans="1:1">
      <c r="A3" s="58" t="s">
        <v>424</v>
      </c>
    </row>
  </sheetData>
  <phoneticPr fontId="0" type="noConversion"/>
  <pageMargins left="0.511811024" right="0.511811024" top="0.78740157499999996" bottom="0.78740157499999996" header="0.31496062000000002" footer="0.31496062000000002"/>
  <pageSetup paperSize="9" orientation="portrait" r:id="rId1"/>
  <headerFooter>
    <oddFooter>&amp;L
&amp;K808080&amp;"Trebuchet MS"CLASSIFICAÇÃO DO DOCUMENTO: INTERNO</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3"/>
  <dimension ref="A1:AI175"/>
  <sheetViews>
    <sheetView zoomScale="90" zoomScaleNormal="90" workbookViewId="0">
      <pane xSplit="1" ySplit="1" topLeftCell="B151" activePane="bottomRight" state="frozen"/>
      <selection sqref="A1:X1"/>
      <selection pane="topRight" sqref="A1:X1"/>
      <selection pane="bottomLeft" sqref="A1:X1"/>
      <selection pane="bottomRight" activeCell="F59" sqref="F59"/>
    </sheetView>
  </sheetViews>
  <sheetFormatPr defaultColWidth="9.33203125" defaultRowHeight="13.2"/>
  <cols>
    <col min="1" max="1" width="39" style="2" customWidth="1"/>
    <col min="2" max="2" width="21.44140625" style="1" customWidth="1"/>
    <col min="3" max="3" width="12.33203125" style="1" bestFit="1" customWidth="1"/>
    <col min="4" max="4" width="12.6640625" style="1" bestFit="1" customWidth="1"/>
    <col min="5" max="5" width="25.6640625" style="2" customWidth="1"/>
    <col min="6" max="6" width="19.44140625" style="2" bestFit="1" customWidth="1"/>
    <col min="7" max="7" width="12.33203125" style="2" bestFit="1" customWidth="1"/>
    <col min="8" max="8" width="19" style="2" customWidth="1"/>
    <col min="9" max="9" width="12.33203125" style="2" bestFit="1" customWidth="1"/>
    <col min="10" max="10" width="9.44140625" style="2" bestFit="1" customWidth="1"/>
    <col min="11" max="16384" width="9.33203125" style="1"/>
  </cols>
  <sheetData>
    <row r="1" spans="1:35">
      <c r="A1" s="15" t="s">
        <v>647</v>
      </c>
      <c r="B1" s="15" t="s">
        <v>648</v>
      </c>
      <c r="C1" s="15" t="s">
        <v>649</v>
      </c>
      <c r="D1" s="15" t="s">
        <v>104</v>
      </c>
      <c r="E1" s="15" t="s">
        <v>0</v>
      </c>
      <c r="F1" s="15" t="s">
        <v>104</v>
      </c>
      <c r="G1" s="15" t="s">
        <v>650</v>
      </c>
      <c r="H1" s="15" t="s">
        <v>104</v>
      </c>
      <c r="I1" s="15" t="s">
        <v>650</v>
      </c>
      <c r="J1" s="15" t="s">
        <v>651</v>
      </c>
    </row>
    <row r="2" spans="1:35" s="115" customFormat="1" ht="25.8">
      <c r="A2" s="113" t="s">
        <v>2159</v>
      </c>
      <c r="B2" s="113"/>
      <c r="C2" s="113"/>
      <c r="D2" s="113"/>
      <c r="E2" s="113"/>
      <c r="F2" s="114"/>
      <c r="G2" s="113"/>
      <c r="H2" s="113"/>
      <c r="I2" s="114"/>
      <c r="J2" s="113"/>
      <c r="K2"/>
      <c r="L2"/>
      <c r="M2"/>
      <c r="N2"/>
      <c r="O2"/>
      <c r="P2"/>
      <c r="Q2"/>
      <c r="R2"/>
      <c r="S2"/>
      <c r="T2"/>
      <c r="U2"/>
      <c r="V2"/>
      <c r="W2"/>
      <c r="X2"/>
      <c r="Y2"/>
    </row>
    <row r="3" spans="1:35" s="129" customFormat="1" ht="14.4">
      <c r="A3" s="303"/>
      <c r="B3" s="130"/>
      <c r="C3" s="116">
        <v>1</v>
      </c>
      <c r="D3" s="116"/>
      <c r="E3" s="127" t="s">
        <v>16</v>
      </c>
      <c r="F3" s="128" t="s">
        <v>16</v>
      </c>
      <c r="G3" s="116"/>
      <c r="H3" s="116" t="s">
        <v>2150</v>
      </c>
      <c r="I3" s="117">
        <f>IF(H3="","",VLOOKUP(H3,Tabela1[],2,0))</f>
        <v>1</v>
      </c>
      <c r="J3" s="116" t="s">
        <v>524</v>
      </c>
      <c r="K3"/>
      <c r="L3"/>
      <c r="M3"/>
      <c r="N3"/>
      <c r="O3"/>
      <c r="P3"/>
      <c r="Q3"/>
      <c r="R3"/>
      <c r="S3"/>
      <c r="T3"/>
      <c r="U3"/>
      <c r="V3"/>
      <c r="W3"/>
      <c r="X3"/>
      <c r="Y3"/>
      <c r="Z3"/>
      <c r="AA3"/>
      <c r="AB3"/>
      <c r="AC3"/>
      <c r="AD3"/>
      <c r="AE3"/>
      <c r="AF3"/>
      <c r="AG3"/>
      <c r="AH3"/>
      <c r="AI3"/>
    </row>
    <row r="4" spans="1:35" s="129" customFormat="1" ht="14.4">
      <c r="A4" s="303"/>
      <c r="B4" s="130"/>
      <c r="C4" s="116">
        <v>1</v>
      </c>
      <c r="D4" s="116"/>
      <c r="E4" s="127" t="s">
        <v>16</v>
      </c>
      <c r="F4" s="128" t="s">
        <v>16</v>
      </c>
      <c r="G4" s="116"/>
      <c r="H4" s="116" t="s">
        <v>2150</v>
      </c>
      <c r="I4" s="117">
        <f>IF(H4="","",VLOOKUP(H4,Tabela1[],2,0))</f>
        <v>1</v>
      </c>
      <c r="J4" s="116" t="s">
        <v>524</v>
      </c>
      <c r="K4"/>
      <c r="L4"/>
      <c r="M4"/>
      <c r="N4"/>
      <c r="O4"/>
      <c r="P4"/>
      <c r="Q4"/>
      <c r="R4"/>
      <c r="S4"/>
      <c r="T4"/>
      <c r="U4"/>
      <c r="V4"/>
      <c r="W4"/>
      <c r="X4"/>
      <c r="Y4"/>
      <c r="Z4"/>
      <c r="AA4"/>
      <c r="AB4"/>
      <c r="AC4"/>
      <c r="AD4"/>
      <c r="AE4"/>
      <c r="AF4"/>
      <c r="AG4"/>
      <c r="AH4"/>
      <c r="AI4"/>
    </row>
    <row r="5" spans="1:35" s="129" customFormat="1" ht="14.4">
      <c r="A5" s="303"/>
      <c r="B5" s="130"/>
      <c r="C5" s="116">
        <v>1</v>
      </c>
      <c r="D5" s="116"/>
      <c r="E5" s="127" t="s">
        <v>16</v>
      </c>
      <c r="F5" s="128" t="s">
        <v>16</v>
      </c>
      <c r="G5" s="116"/>
      <c r="H5" s="116" t="s">
        <v>2150</v>
      </c>
      <c r="I5" s="117">
        <f>IF(H5="","",VLOOKUP(H5,Tabela1[],2,0))</f>
        <v>1</v>
      </c>
      <c r="J5" s="116" t="s">
        <v>524</v>
      </c>
      <c r="K5"/>
      <c r="L5"/>
      <c r="M5"/>
      <c r="N5"/>
      <c r="O5"/>
      <c r="P5"/>
      <c r="Q5"/>
      <c r="R5"/>
      <c r="S5"/>
      <c r="T5"/>
      <c r="U5"/>
      <c r="V5"/>
      <c r="W5"/>
      <c r="X5"/>
      <c r="Y5"/>
      <c r="Z5"/>
      <c r="AA5"/>
      <c r="AB5"/>
      <c r="AC5"/>
      <c r="AD5"/>
      <c r="AE5"/>
      <c r="AF5"/>
      <c r="AG5"/>
      <c r="AH5"/>
      <c r="AI5"/>
    </row>
    <row r="6" spans="1:35" s="129" customFormat="1" ht="14.4">
      <c r="A6" s="303"/>
      <c r="B6" s="130"/>
      <c r="C6" s="116">
        <v>1</v>
      </c>
      <c r="D6" s="116"/>
      <c r="E6" s="127" t="s">
        <v>16</v>
      </c>
      <c r="F6" s="128" t="s">
        <v>16</v>
      </c>
      <c r="G6" s="116"/>
      <c r="H6" s="116" t="s">
        <v>2150</v>
      </c>
      <c r="I6" s="117">
        <f>IF(H6="","",VLOOKUP(H6,Tabela1[],2,0))</f>
        <v>1</v>
      </c>
      <c r="J6" s="116" t="s">
        <v>524</v>
      </c>
      <c r="K6"/>
      <c r="L6"/>
      <c r="M6"/>
      <c r="N6"/>
      <c r="O6"/>
      <c r="P6"/>
      <c r="Q6"/>
      <c r="R6"/>
      <c r="S6"/>
      <c r="T6"/>
      <c r="U6"/>
      <c r="V6"/>
      <c r="W6"/>
      <c r="X6"/>
      <c r="Y6"/>
      <c r="Z6"/>
      <c r="AA6"/>
      <c r="AB6"/>
      <c r="AC6"/>
      <c r="AD6"/>
      <c r="AE6"/>
      <c r="AF6"/>
      <c r="AG6"/>
      <c r="AH6"/>
      <c r="AI6"/>
    </row>
    <row r="7" spans="1:35" s="129" customFormat="1" ht="14.4">
      <c r="A7" s="303"/>
      <c r="B7" s="130"/>
      <c r="C7" s="116">
        <v>1</v>
      </c>
      <c r="D7" s="116"/>
      <c r="E7" s="127" t="s">
        <v>16</v>
      </c>
      <c r="F7" s="128" t="s">
        <v>16</v>
      </c>
      <c r="G7" s="116"/>
      <c r="H7" s="116" t="s">
        <v>2150</v>
      </c>
      <c r="I7" s="117">
        <f>IF(H7="","",VLOOKUP(H7,Tabela1[],2,0))</f>
        <v>1</v>
      </c>
      <c r="J7" s="116" t="s">
        <v>524</v>
      </c>
      <c r="K7"/>
      <c r="L7"/>
      <c r="M7"/>
      <c r="N7"/>
      <c r="O7"/>
      <c r="P7"/>
      <c r="Q7"/>
      <c r="R7"/>
      <c r="S7"/>
      <c r="T7"/>
      <c r="U7"/>
      <c r="V7"/>
      <c r="W7"/>
      <c r="X7"/>
      <c r="Y7"/>
      <c r="Z7"/>
      <c r="AA7"/>
      <c r="AB7"/>
      <c r="AC7"/>
      <c r="AD7"/>
      <c r="AE7"/>
      <c r="AF7"/>
      <c r="AG7"/>
      <c r="AH7"/>
      <c r="AI7"/>
    </row>
    <row r="8" spans="1:35" s="129" customFormat="1" ht="14.4">
      <c r="A8" s="303"/>
      <c r="B8" s="130"/>
      <c r="C8" s="116">
        <v>1</v>
      </c>
      <c r="D8" s="116"/>
      <c r="E8" s="127" t="s">
        <v>16</v>
      </c>
      <c r="F8" s="128" t="s">
        <v>16</v>
      </c>
      <c r="G8" s="116"/>
      <c r="H8" s="116" t="s">
        <v>2150</v>
      </c>
      <c r="I8" s="117">
        <f>IF(H8="","",VLOOKUP(H8,Tabela1[],2,0))</f>
        <v>1</v>
      </c>
      <c r="J8" s="116" t="s">
        <v>524</v>
      </c>
      <c r="K8"/>
      <c r="L8"/>
      <c r="M8"/>
      <c r="N8"/>
      <c r="O8"/>
      <c r="P8"/>
      <c r="Q8"/>
      <c r="R8"/>
      <c r="S8"/>
      <c r="T8"/>
      <c r="U8"/>
      <c r="V8"/>
      <c r="W8"/>
      <c r="X8"/>
      <c r="Y8"/>
      <c r="Z8"/>
      <c r="AA8"/>
      <c r="AB8"/>
      <c r="AC8"/>
      <c r="AD8"/>
      <c r="AE8"/>
      <c r="AF8"/>
      <c r="AG8"/>
      <c r="AH8"/>
      <c r="AI8"/>
    </row>
    <row r="9" spans="1:35" s="129" customFormat="1" ht="14.4">
      <c r="A9" s="303"/>
      <c r="B9" s="130"/>
      <c r="C9" s="116">
        <v>1</v>
      </c>
      <c r="D9" s="116"/>
      <c r="E9" s="127" t="s">
        <v>16</v>
      </c>
      <c r="F9" s="128" t="s">
        <v>16</v>
      </c>
      <c r="G9" s="116"/>
      <c r="H9" s="116" t="s">
        <v>2150</v>
      </c>
      <c r="I9" s="117">
        <f>IF(H9="","",VLOOKUP(H9,Tabela1[],2,0))</f>
        <v>1</v>
      </c>
      <c r="J9" s="116" t="s">
        <v>524</v>
      </c>
      <c r="K9"/>
      <c r="L9"/>
      <c r="M9"/>
      <c r="N9"/>
      <c r="O9"/>
      <c r="P9"/>
      <c r="Q9"/>
      <c r="R9"/>
      <c r="S9"/>
      <c r="T9"/>
      <c r="U9"/>
      <c r="V9"/>
      <c r="W9"/>
      <c r="X9"/>
      <c r="Y9"/>
      <c r="Z9"/>
      <c r="AA9"/>
      <c r="AB9"/>
      <c r="AC9"/>
      <c r="AD9"/>
      <c r="AE9"/>
      <c r="AF9"/>
      <c r="AG9"/>
      <c r="AH9"/>
      <c r="AI9"/>
    </row>
    <row r="10" spans="1:35" s="129" customFormat="1" ht="14.4">
      <c r="A10" s="303"/>
      <c r="B10" s="130"/>
      <c r="C10" s="116">
        <v>1</v>
      </c>
      <c r="D10" s="116"/>
      <c r="E10" s="127" t="s">
        <v>16</v>
      </c>
      <c r="F10" s="128" t="s">
        <v>16</v>
      </c>
      <c r="G10" s="116"/>
      <c r="H10" s="116" t="s">
        <v>2150</v>
      </c>
      <c r="I10" s="117">
        <f>IF(H10="","",VLOOKUP(H10,Tabela1[],2,0))</f>
        <v>1</v>
      </c>
      <c r="J10" s="116" t="s">
        <v>524</v>
      </c>
      <c r="K10"/>
      <c r="L10"/>
      <c r="M10"/>
      <c r="N10"/>
      <c r="O10"/>
      <c r="P10"/>
      <c r="Q10"/>
      <c r="R10"/>
      <c r="S10"/>
      <c r="T10"/>
      <c r="U10"/>
      <c r="V10"/>
      <c r="W10"/>
      <c r="X10"/>
      <c r="Y10"/>
      <c r="Z10"/>
      <c r="AA10"/>
      <c r="AB10"/>
      <c r="AC10"/>
      <c r="AD10"/>
      <c r="AE10"/>
      <c r="AF10"/>
      <c r="AG10"/>
      <c r="AH10"/>
      <c r="AI10"/>
    </row>
    <row r="11" spans="1:35" s="129" customFormat="1" ht="14.4">
      <c r="A11" s="303"/>
      <c r="B11" s="130"/>
      <c r="C11" s="116">
        <v>1</v>
      </c>
      <c r="D11" s="116"/>
      <c r="E11" s="127" t="s">
        <v>16</v>
      </c>
      <c r="F11" s="128" t="s">
        <v>16</v>
      </c>
      <c r="G11" s="116"/>
      <c r="H11" s="116" t="s">
        <v>2150</v>
      </c>
      <c r="I11" s="117">
        <f>IF(H11="","",VLOOKUP(H11,Tabela1[],2,0))</f>
        <v>1</v>
      </c>
      <c r="J11" s="116" t="s">
        <v>524</v>
      </c>
      <c r="K11"/>
      <c r="L11"/>
      <c r="M11"/>
      <c r="N11"/>
      <c r="O11"/>
      <c r="P11"/>
      <c r="Q11"/>
      <c r="R11"/>
      <c r="S11"/>
      <c r="T11"/>
      <c r="U11"/>
      <c r="V11"/>
      <c r="W11"/>
      <c r="X11"/>
      <c r="Y11"/>
      <c r="Z11"/>
      <c r="AA11"/>
      <c r="AB11"/>
      <c r="AC11"/>
      <c r="AD11"/>
      <c r="AE11"/>
      <c r="AF11"/>
      <c r="AG11"/>
      <c r="AH11"/>
      <c r="AI11"/>
    </row>
    <row r="12" spans="1:35" s="129" customFormat="1" ht="14.4">
      <c r="A12" s="127"/>
      <c r="B12" s="130"/>
      <c r="C12" s="116">
        <v>1</v>
      </c>
      <c r="D12" s="116"/>
      <c r="E12" s="127" t="s">
        <v>16</v>
      </c>
      <c r="F12" s="128" t="s">
        <v>16</v>
      </c>
      <c r="G12" s="116"/>
      <c r="H12" s="116" t="s">
        <v>2150</v>
      </c>
      <c r="I12" s="117">
        <f>IF(H12="","",VLOOKUP(H12,Tabela1[],2,0))</f>
        <v>1</v>
      </c>
      <c r="J12" s="116" t="s">
        <v>524</v>
      </c>
      <c r="K12"/>
      <c r="L12"/>
      <c r="M12"/>
      <c r="N12"/>
      <c r="O12"/>
      <c r="P12"/>
      <c r="Q12"/>
      <c r="R12"/>
      <c r="S12"/>
      <c r="T12"/>
      <c r="U12"/>
      <c r="V12"/>
      <c r="W12"/>
      <c r="X12"/>
      <c r="Y12"/>
      <c r="Z12"/>
      <c r="AA12"/>
      <c r="AB12"/>
      <c r="AC12"/>
      <c r="AD12"/>
      <c r="AE12"/>
      <c r="AF12"/>
      <c r="AG12"/>
      <c r="AH12"/>
      <c r="AI12"/>
    </row>
    <row r="13" spans="1:35" customFormat="1">
      <c r="A13" s="67"/>
      <c r="B13" s="67"/>
      <c r="C13" s="67"/>
      <c r="D13" s="67"/>
      <c r="E13" s="67"/>
      <c r="F13" s="68"/>
      <c r="G13" s="67"/>
      <c r="H13" s="67"/>
      <c r="I13" s="68"/>
      <c r="J13" s="67"/>
    </row>
    <row r="14" spans="1:35" customFormat="1">
      <c r="A14" s="67"/>
      <c r="B14" s="67"/>
      <c r="C14" s="67"/>
      <c r="D14" s="67"/>
      <c r="E14" s="67"/>
      <c r="F14" s="68"/>
      <c r="G14" s="67"/>
      <c r="H14" s="67"/>
      <c r="I14" s="68"/>
      <c r="J14" s="67"/>
    </row>
    <row r="15" spans="1:35" s="115" customFormat="1" ht="25.8">
      <c r="A15" s="113" t="s">
        <v>2160</v>
      </c>
      <c r="B15" s="113"/>
      <c r="C15" s="113"/>
      <c r="D15" s="113"/>
      <c r="E15" s="113"/>
      <c r="F15" s="114"/>
      <c r="G15" s="113"/>
      <c r="H15" s="113"/>
      <c r="I15" s="114"/>
      <c r="J15" s="113"/>
      <c r="K15"/>
      <c r="L15"/>
      <c r="M15"/>
      <c r="N15"/>
      <c r="O15"/>
      <c r="P15"/>
      <c r="Q15"/>
      <c r="R15"/>
      <c r="S15"/>
      <c r="T15"/>
      <c r="U15"/>
      <c r="V15"/>
      <c r="W15"/>
      <c r="X15"/>
      <c r="Y15"/>
    </row>
    <row r="16" spans="1:35" s="129" customFormat="1" ht="14.4">
      <c r="A16" s="303"/>
      <c r="B16" s="130"/>
      <c r="C16" s="116">
        <v>1</v>
      </c>
      <c r="D16" s="116"/>
      <c r="E16" s="127" t="s">
        <v>16</v>
      </c>
      <c r="F16" s="128" t="s">
        <v>16</v>
      </c>
      <c r="G16" s="116"/>
      <c r="H16" s="116" t="s">
        <v>2151</v>
      </c>
      <c r="I16" s="117">
        <f>IF(H16="","",VLOOKUP(H16,Tabela1[],2,0))</f>
        <v>2</v>
      </c>
      <c r="J16" s="116" t="s">
        <v>524</v>
      </c>
      <c r="K16"/>
      <c r="L16"/>
      <c r="M16"/>
      <c r="N16"/>
      <c r="O16"/>
      <c r="P16"/>
      <c r="Q16"/>
      <c r="R16"/>
      <c r="S16"/>
      <c r="T16"/>
      <c r="U16"/>
      <c r="V16"/>
      <c r="W16"/>
      <c r="X16"/>
      <c r="Y16"/>
      <c r="Z16"/>
      <c r="AA16"/>
      <c r="AB16"/>
      <c r="AC16"/>
      <c r="AD16"/>
      <c r="AE16"/>
      <c r="AF16"/>
      <c r="AG16"/>
      <c r="AH16"/>
      <c r="AI16"/>
    </row>
    <row r="17" spans="1:35" s="129" customFormat="1" ht="14.4">
      <c r="A17" s="303"/>
      <c r="B17" s="130"/>
      <c r="C17" s="116">
        <v>1</v>
      </c>
      <c r="D17" s="116"/>
      <c r="E17" s="127" t="s">
        <v>16</v>
      </c>
      <c r="F17" s="128" t="s">
        <v>16</v>
      </c>
      <c r="G17" s="116"/>
      <c r="H17" s="116" t="s">
        <v>2151</v>
      </c>
      <c r="I17" s="117">
        <f>IF(H17="","",VLOOKUP(H17,Tabela1[],2,0))</f>
        <v>2</v>
      </c>
      <c r="J17" s="116" t="s">
        <v>524</v>
      </c>
      <c r="K17"/>
      <c r="L17"/>
      <c r="M17"/>
      <c r="N17"/>
      <c r="O17"/>
      <c r="P17"/>
      <c r="Q17"/>
      <c r="R17"/>
      <c r="S17"/>
      <c r="T17"/>
      <c r="U17"/>
      <c r="V17"/>
      <c r="W17"/>
      <c r="X17"/>
      <c r="Y17"/>
      <c r="Z17"/>
      <c r="AA17"/>
      <c r="AB17"/>
      <c r="AC17"/>
      <c r="AD17"/>
      <c r="AE17"/>
      <c r="AF17"/>
      <c r="AG17"/>
      <c r="AH17"/>
      <c r="AI17"/>
    </row>
    <row r="18" spans="1:35" s="129" customFormat="1" ht="14.4">
      <c r="A18" s="303"/>
      <c r="B18" s="130"/>
      <c r="C18" s="116">
        <v>1</v>
      </c>
      <c r="D18" s="116"/>
      <c r="E18" s="127" t="s">
        <v>16</v>
      </c>
      <c r="F18" s="128" t="s">
        <v>16</v>
      </c>
      <c r="G18" s="116"/>
      <c r="H18" s="116" t="s">
        <v>2151</v>
      </c>
      <c r="I18" s="117">
        <f>IF(H18="","",VLOOKUP(H18,Tabela1[],2,0))</f>
        <v>2</v>
      </c>
      <c r="J18" s="116" t="s">
        <v>524</v>
      </c>
      <c r="K18"/>
      <c r="L18"/>
      <c r="M18"/>
      <c r="N18"/>
      <c r="O18"/>
      <c r="P18"/>
      <c r="Q18"/>
      <c r="R18"/>
      <c r="S18"/>
      <c r="T18"/>
      <c r="U18"/>
      <c r="V18"/>
      <c r="W18"/>
      <c r="X18"/>
      <c r="Y18"/>
      <c r="Z18"/>
      <c r="AA18"/>
      <c r="AB18"/>
      <c r="AC18"/>
      <c r="AD18"/>
      <c r="AE18"/>
      <c r="AF18"/>
      <c r="AG18"/>
      <c r="AH18"/>
      <c r="AI18"/>
    </row>
    <row r="19" spans="1:35" s="129" customFormat="1" ht="14.4">
      <c r="A19" s="303"/>
      <c r="B19" s="130"/>
      <c r="C19" s="116">
        <v>1</v>
      </c>
      <c r="D19" s="116"/>
      <c r="E19" s="127" t="s">
        <v>16</v>
      </c>
      <c r="F19" s="128" t="s">
        <v>16</v>
      </c>
      <c r="G19" s="116"/>
      <c r="H19" s="116" t="s">
        <v>2151</v>
      </c>
      <c r="I19" s="117">
        <f>IF(H19="","",VLOOKUP(H19,Tabela1[],2,0))</f>
        <v>2</v>
      </c>
      <c r="J19" s="116" t="s">
        <v>524</v>
      </c>
      <c r="K19"/>
      <c r="L19"/>
      <c r="M19"/>
      <c r="N19"/>
      <c r="O19"/>
      <c r="P19"/>
      <c r="Q19"/>
      <c r="R19"/>
      <c r="S19"/>
      <c r="T19"/>
      <c r="U19"/>
      <c r="V19"/>
      <c r="W19"/>
      <c r="X19"/>
      <c r="Y19"/>
      <c r="Z19"/>
      <c r="AA19"/>
      <c r="AB19"/>
      <c r="AC19"/>
      <c r="AD19"/>
      <c r="AE19"/>
      <c r="AF19"/>
      <c r="AG19"/>
      <c r="AH19"/>
      <c r="AI19"/>
    </row>
    <row r="20" spans="1:35" s="129" customFormat="1" ht="14.4">
      <c r="A20" s="303"/>
      <c r="B20" s="130"/>
      <c r="C20" s="116">
        <v>1</v>
      </c>
      <c r="D20" s="116"/>
      <c r="E20" s="127" t="s">
        <v>16</v>
      </c>
      <c r="F20" s="128" t="s">
        <v>16</v>
      </c>
      <c r="G20" s="116"/>
      <c r="H20" s="116" t="s">
        <v>2151</v>
      </c>
      <c r="I20" s="117">
        <f>IF(H20="","",VLOOKUP(H20,Tabela1[],2,0))</f>
        <v>2</v>
      </c>
      <c r="J20" s="116" t="s">
        <v>524</v>
      </c>
      <c r="K20"/>
      <c r="L20"/>
      <c r="M20"/>
      <c r="N20"/>
      <c r="O20"/>
      <c r="P20"/>
      <c r="Q20"/>
      <c r="R20"/>
      <c r="S20"/>
      <c r="T20"/>
      <c r="U20"/>
      <c r="V20"/>
      <c r="W20"/>
      <c r="X20"/>
      <c r="Y20"/>
      <c r="Z20"/>
      <c r="AA20"/>
      <c r="AB20"/>
      <c r="AC20"/>
      <c r="AD20"/>
      <c r="AE20"/>
      <c r="AF20"/>
      <c r="AG20"/>
      <c r="AH20"/>
      <c r="AI20"/>
    </row>
    <row r="21" spans="1:35" s="129" customFormat="1" ht="14.4">
      <c r="A21" s="303"/>
      <c r="B21" s="130"/>
      <c r="C21" s="116">
        <v>1</v>
      </c>
      <c r="D21" s="116"/>
      <c r="E21" s="127" t="s">
        <v>16</v>
      </c>
      <c r="F21" s="128" t="s">
        <v>16</v>
      </c>
      <c r="G21" s="116"/>
      <c r="H21" s="116" t="s">
        <v>2151</v>
      </c>
      <c r="I21" s="117">
        <f>IF(H21="","",VLOOKUP(H21,Tabela1[],2,0))</f>
        <v>2</v>
      </c>
      <c r="J21" s="116" t="s">
        <v>524</v>
      </c>
      <c r="K21"/>
      <c r="L21"/>
      <c r="M21"/>
      <c r="N21"/>
      <c r="O21"/>
      <c r="P21"/>
      <c r="Q21"/>
      <c r="R21"/>
      <c r="S21"/>
      <c r="T21"/>
      <c r="U21"/>
      <c r="V21"/>
      <c r="W21"/>
      <c r="X21"/>
      <c r="Y21"/>
      <c r="Z21"/>
      <c r="AA21"/>
      <c r="AB21"/>
      <c r="AC21"/>
      <c r="AD21"/>
      <c r="AE21"/>
      <c r="AF21"/>
      <c r="AG21"/>
      <c r="AH21"/>
      <c r="AI21"/>
    </row>
    <row r="22" spans="1:35" s="129" customFormat="1" ht="14.4">
      <c r="A22" s="303"/>
      <c r="B22" s="130"/>
      <c r="C22" s="116">
        <v>1</v>
      </c>
      <c r="D22" s="116"/>
      <c r="E22" s="127" t="s">
        <v>16</v>
      </c>
      <c r="F22" s="128" t="s">
        <v>16</v>
      </c>
      <c r="G22" s="116"/>
      <c r="H22" s="116" t="s">
        <v>2151</v>
      </c>
      <c r="I22" s="117">
        <f>IF(H22="","",VLOOKUP(H22,Tabela1[],2,0))</f>
        <v>2</v>
      </c>
      <c r="J22" s="116" t="s">
        <v>524</v>
      </c>
      <c r="K22"/>
      <c r="L22"/>
      <c r="M22"/>
      <c r="N22"/>
      <c r="O22"/>
      <c r="P22"/>
      <c r="Q22"/>
      <c r="R22"/>
      <c r="S22"/>
      <c r="T22"/>
      <c r="U22"/>
      <c r="V22"/>
      <c r="W22"/>
      <c r="X22"/>
      <c r="Y22"/>
      <c r="Z22"/>
      <c r="AA22"/>
      <c r="AB22"/>
      <c r="AC22"/>
      <c r="AD22"/>
      <c r="AE22"/>
      <c r="AF22"/>
      <c r="AG22"/>
      <c r="AH22"/>
      <c r="AI22"/>
    </row>
    <row r="23" spans="1:35" s="129" customFormat="1" ht="14.4">
      <c r="A23" s="303"/>
      <c r="B23" s="130"/>
      <c r="C23" s="116">
        <v>1</v>
      </c>
      <c r="D23" s="116"/>
      <c r="E23" s="127" t="s">
        <v>16</v>
      </c>
      <c r="F23" s="128" t="s">
        <v>16</v>
      </c>
      <c r="G23" s="116"/>
      <c r="H23" s="116" t="s">
        <v>2151</v>
      </c>
      <c r="I23" s="117">
        <f>IF(H23="","",VLOOKUP(H23,Tabela1[],2,0))</f>
        <v>2</v>
      </c>
      <c r="J23" s="116" t="s">
        <v>524</v>
      </c>
      <c r="K23"/>
      <c r="L23"/>
      <c r="M23"/>
      <c r="N23"/>
      <c r="O23"/>
      <c r="P23"/>
      <c r="Q23"/>
      <c r="R23"/>
      <c r="S23"/>
      <c r="T23"/>
      <c r="U23"/>
      <c r="V23"/>
      <c r="W23"/>
      <c r="X23"/>
      <c r="Y23"/>
      <c r="Z23"/>
      <c r="AA23"/>
      <c r="AB23"/>
      <c r="AC23"/>
      <c r="AD23"/>
      <c r="AE23"/>
      <c r="AF23"/>
      <c r="AG23"/>
      <c r="AH23"/>
      <c r="AI23"/>
    </row>
    <row r="24" spans="1:35" s="129" customFormat="1" ht="14.4">
      <c r="A24" s="303"/>
      <c r="B24" s="130"/>
      <c r="C24" s="116">
        <v>1</v>
      </c>
      <c r="D24" s="116"/>
      <c r="E24" s="127" t="s">
        <v>16</v>
      </c>
      <c r="F24" s="128" t="s">
        <v>16</v>
      </c>
      <c r="G24" s="116"/>
      <c r="H24" s="116" t="s">
        <v>2151</v>
      </c>
      <c r="I24" s="117">
        <f>IF(H24="","",VLOOKUP(H24,Tabela1[],2,0))</f>
        <v>2</v>
      </c>
      <c r="J24" s="116" t="s">
        <v>524</v>
      </c>
      <c r="K24"/>
      <c r="L24"/>
      <c r="M24"/>
      <c r="N24"/>
      <c r="O24"/>
      <c r="P24"/>
      <c r="Q24"/>
      <c r="R24"/>
      <c r="S24"/>
      <c r="T24"/>
      <c r="U24"/>
      <c r="V24"/>
      <c r="W24"/>
      <c r="X24"/>
      <c r="Y24"/>
      <c r="Z24"/>
      <c r="AA24"/>
      <c r="AB24"/>
      <c r="AC24"/>
      <c r="AD24"/>
      <c r="AE24"/>
      <c r="AF24"/>
      <c r="AG24"/>
      <c r="AH24"/>
      <c r="AI24"/>
    </row>
    <row r="25" spans="1:35" s="129" customFormat="1" ht="14.4">
      <c r="A25" s="127"/>
      <c r="B25" s="130"/>
      <c r="C25" s="116">
        <v>1</v>
      </c>
      <c r="D25" s="116"/>
      <c r="E25" s="127" t="s">
        <v>16</v>
      </c>
      <c r="F25" s="128" t="s">
        <v>16</v>
      </c>
      <c r="G25" s="116"/>
      <c r="H25" s="116" t="s">
        <v>2151</v>
      </c>
      <c r="I25" s="117">
        <f>IF(H25="","",VLOOKUP(H25,Tabela1[],2,0))</f>
        <v>2</v>
      </c>
      <c r="J25" s="116" t="s">
        <v>524</v>
      </c>
      <c r="K25"/>
      <c r="L25"/>
      <c r="M25"/>
      <c r="N25"/>
      <c r="O25"/>
      <c r="P25"/>
      <c r="Q25"/>
      <c r="R25"/>
      <c r="S25"/>
      <c r="T25"/>
      <c r="U25"/>
      <c r="V25"/>
      <c r="W25"/>
      <c r="X25"/>
      <c r="Y25"/>
      <c r="Z25"/>
      <c r="AA25"/>
      <c r="AB25"/>
      <c r="AC25"/>
      <c r="AD25"/>
      <c r="AE25"/>
      <c r="AF25"/>
      <c r="AG25"/>
      <c r="AH25"/>
      <c r="AI25"/>
    </row>
    <row r="26" spans="1:35" customFormat="1">
      <c r="A26" s="67"/>
      <c r="B26" s="67"/>
      <c r="C26" s="67"/>
      <c r="D26" s="67"/>
      <c r="E26" s="67"/>
      <c r="F26" s="68"/>
      <c r="G26" s="67"/>
      <c r="H26" s="67"/>
      <c r="I26" s="68"/>
      <c r="J26" s="67"/>
    </row>
    <row r="27" spans="1:35" customFormat="1">
      <c r="A27" s="67"/>
      <c r="B27" s="67"/>
      <c r="C27" s="67"/>
      <c r="D27" s="67"/>
      <c r="E27" s="67"/>
      <c r="F27" s="68"/>
      <c r="G27" s="67"/>
      <c r="H27" s="67"/>
      <c r="I27" s="68"/>
      <c r="J27" s="67"/>
    </row>
    <row r="28" spans="1:35" s="115" customFormat="1" ht="25.8">
      <c r="A28" s="113" t="s">
        <v>2161</v>
      </c>
      <c r="B28" s="113"/>
      <c r="C28" s="113"/>
      <c r="D28" s="113"/>
      <c r="E28" s="113"/>
      <c r="F28" s="114"/>
      <c r="G28" s="113"/>
      <c r="H28" s="113"/>
      <c r="I28" s="114"/>
      <c r="J28" s="113"/>
    </row>
    <row r="29" spans="1:35" customFormat="1" ht="14.4">
      <c r="A29" s="303"/>
      <c r="B29" s="130"/>
      <c r="C29" s="124">
        <v>25</v>
      </c>
      <c r="D29" s="124"/>
      <c r="E29" s="124" t="s">
        <v>16</v>
      </c>
      <c r="F29" s="124" t="s">
        <v>16</v>
      </c>
      <c r="G29" s="125"/>
      <c r="H29" s="116" t="s">
        <v>2155</v>
      </c>
      <c r="I29" s="117">
        <f>IF(H29="","",VLOOKUP(H29,Tabela1[],2,0))</f>
        <v>6</v>
      </c>
      <c r="J29" s="124" t="s">
        <v>2</v>
      </c>
    </row>
    <row r="30" spans="1:35" customFormat="1" ht="14.4">
      <c r="A30" s="303"/>
      <c r="B30" s="130"/>
      <c r="C30" s="124">
        <v>25</v>
      </c>
      <c r="D30" s="124"/>
      <c r="E30" s="124" t="s">
        <v>16</v>
      </c>
      <c r="F30" s="124" t="s">
        <v>16</v>
      </c>
      <c r="G30" s="125"/>
      <c r="H30" s="116" t="s">
        <v>2155</v>
      </c>
      <c r="I30" s="117">
        <f>IF(H30="","",VLOOKUP(H30,Tabela1[],2,0))</f>
        <v>6</v>
      </c>
      <c r="J30" s="124" t="s">
        <v>2</v>
      </c>
    </row>
    <row r="31" spans="1:35" customFormat="1" ht="14.4">
      <c r="A31" s="303"/>
      <c r="B31" s="130"/>
      <c r="C31" s="124">
        <v>25</v>
      </c>
      <c r="D31" s="124"/>
      <c r="E31" s="124" t="s">
        <v>16</v>
      </c>
      <c r="F31" s="124" t="s">
        <v>16</v>
      </c>
      <c r="G31" s="125"/>
      <c r="H31" s="116" t="s">
        <v>2155</v>
      </c>
      <c r="I31" s="117">
        <f>IF(H31="","",VLOOKUP(H31,Tabela1[],2,0))</f>
        <v>6</v>
      </c>
      <c r="J31" s="124" t="s">
        <v>2</v>
      </c>
    </row>
    <row r="32" spans="1:35" customFormat="1" ht="14.4">
      <c r="A32" s="303"/>
      <c r="B32" s="130"/>
      <c r="C32" s="124">
        <v>25</v>
      </c>
      <c r="D32" s="124"/>
      <c r="E32" s="124" t="s">
        <v>16</v>
      </c>
      <c r="F32" s="124" t="s">
        <v>16</v>
      </c>
      <c r="G32" s="125"/>
      <c r="H32" s="116" t="s">
        <v>2155</v>
      </c>
      <c r="I32" s="117">
        <f>IF(H32="","",VLOOKUP(H32,Tabela1[],2,0))</f>
        <v>6</v>
      </c>
      <c r="J32" s="124" t="s">
        <v>2</v>
      </c>
    </row>
    <row r="33" spans="1:10" customFormat="1" ht="14.4">
      <c r="A33" s="303"/>
      <c r="B33" s="130"/>
      <c r="C33" s="124">
        <v>25</v>
      </c>
      <c r="D33" s="124"/>
      <c r="E33" s="124" t="s">
        <v>16</v>
      </c>
      <c r="F33" s="124" t="s">
        <v>16</v>
      </c>
      <c r="G33" s="125"/>
      <c r="H33" s="116" t="s">
        <v>2155</v>
      </c>
      <c r="I33" s="117">
        <f>IF(H33="","",VLOOKUP(H33,Tabela1[],2,0))</f>
        <v>6</v>
      </c>
      <c r="J33" s="124" t="s">
        <v>2</v>
      </c>
    </row>
    <row r="34" spans="1:10" customFormat="1" ht="14.4">
      <c r="A34" s="124"/>
      <c r="B34" s="130"/>
      <c r="C34" s="124">
        <v>25</v>
      </c>
      <c r="D34" s="124"/>
      <c r="E34" s="124" t="s">
        <v>16</v>
      </c>
      <c r="F34" s="124" t="s">
        <v>16</v>
      </c>
      <c r="G34" s="125"/>
      <c r="H34" s="116" t="s">
        <v>2155</v>
      </c>
      <c r="I34" s="117">
        <f>IF(H34="","",VLOOKUP(H34,Tabela1[],2,0))</f>
        <v>6</v>
      </c>
      <c r="J34" s="124" t="s">
        <v>2</v>
      </c>
    </row>
    <row r="35" spans="1:10" customFormat="1" ht="14.4">
      <c r="A35" s="124"/>
      <c r="B35" s="130"/>
      <c r="C35" s="124">
        <v>25</v>
      </c>
      <c r="D35" s="124"/>
      <c r="E35" s="124" t="s">
        <v>16</v>
      </c>
      <c r="F35" s="124" t="s">
        <v>16</v>
      </c>
      <c r="G35" s="125"/>
      <c r="H35" s="116" t="s">
        <v>2155</v>
      </c>
      <c r="I35" s="117">
        <f>IF(H35="","",VLOOKUP(H35,Tabela1[],2,0))</f>
        <v>6</v>
      </c>
      <c r="J35" s="124" t="s">
        <v>2</v>
      </c>
    </row>
    <row r="36" spans="1:10" customFormat="1" ht="14.4">
      <c r="A36" s="124"/>
      <c r="B36" s="130"/>
      <c r="C36" s="124">
        <v>25</v>
      </c>
      <c r="D36" s="124"/>
      <c r="E36" s="124" t="s">
        <v>16</v>
      </c>
      <c r="F36" s="124" t="s">
        <v>16</v>
      </c>
      <c r="G36" s="125"/>
      <c r="H36" s="116" t="s">
        <v>2155</v>
      </c>
      <c r="I36" s="117">
        <f>IF(H36="","",VLOOKUP(H36,Tabela1[],2,0))</f>
        <v>6</v>
      </c>
      <c r="J36" s="124" t="s">
        <v>2</v>
      </c>
    </row>
    <row r="37" spans="1:10" customFormat="1" ht="14.4">
      <c r="A37" s="124"/>
      <c r="B37" s="130"/>
      <c r="C37" s="124">
        <v>25</v>
      </c>
      <c r="D37" s="124"/>
      <c r="E37" s="124" t="s">
        <v>16</v>
      </c>
      <c r="F37" s="124" t="s">
        <v>16</v>
      </c>
      <c r="G37" s="125"/>
      <c r="H37" s="116" t="s">
        <v>2155</v>
      </c>
      <c r="I37" s="117">
        <f>IF(H37="","",VLOOKUP(H37,Tabela1[],2,0))</f>
        <v>6</v>
      </c>
      <c r="J37" s="124" t="s">
        <v>2</v>
      </c>
    </row>
    <row r="38" spans="1:10" customFormat="1" ht="14.4">
      <c r="A38" s="67"/>
      <c r="B38" s="67"/>
      <c r="C38" s="67"/>
      <c r="D38" s="67"/>
      <c r="E38" s="67"/>
      <c r="F38" s="67"/>
      <c r="G38" s="69"/>
      <c r="H38" s="68"/>
      <c r="I38" s="69"/>
      <c r="J38" s="67"/>
    </row>
    <row r="39" spans="1:10" customFormat="1" ht="14.4">
      <c r="A39" s="67"/>
      <c r="B39" s="67"/>
      <c r="C39" s="67"/>
      <c r="D39" s="67"/>
      <c r="E39" s="67"/>
      <c r="F39" s="67"/>
      <c r="G39" s="69"/>
      <c r="H39" s="68"/>
      <c r="I39" s="69"/>
      <c r="J39" s="67"/>
    </row>
    <row r="40" spans="1:10" s="115" customFormat="1" ht="25.8">
      <c r="A40" s="113" t="s">
        <v>2162</v>
      </c>
      <c r="B40" s="113"/>
      <c r="C40" s="113"/>
      <c r="D40" s="113"/>
      <c r="E40" s="113"/>
      <c r="F40" s="114"/>
      <c r="G40" s="113"/>
      <c r="H40" s="113"/>
      <c r="I40" s="114"/>
      <c r="J40" s="113"/>
    </row>
    <row r="41" spans="1:10" customFormat="1" ht="14.4">
      <c r="A41" s="303"/>
      <c r="B41" s="130"/>
      <c r="C41" s="124">
        <v>25</v>
      </c>
      <c r="D41" s="124"/>
      <c r="E41" s="124" t="s">
        <v>16</v>
      </c>
      <c r="F41" s="124" t="s">
        <v>16</v>
      </c>
      <c r="G41" s="125"/>
      <c r="H41" s="116" t="s">
        <v>2156</v>
      </c>
      <c r="I41" s="117">
        <f>IF(H41="","",VLOOKUP(H41,Tabela1[],2,0))</f>
        <v>7</v>
      </c>
      <c r="J41" s="124" t="s">
        <v>2</v>
      </c>
    </row>
    <row r="42" spans="1:10" customFormat="1" ht="14.4">
      <c r="A42" s="303"/>
      <c r="B42" s="130"/>
      <c r="C42" s="124">
        <v>25</v>
      </c>
      <c r="D42" s="124"/>
      <c r="E42" s="124" t="s">
        <v>16</v>
      </c>
      <c r="F42" s="124" t="s">
        <v>16</v>
      </c>
      <c r="G42" s="125"/>
      <c r="H42" s="116" t="s">
        <v>2156</v>
      </c>
      <c r="I42" s="117">
        <f>IF(H42="","",VLOOKUP(H42,Tabela1[],2,0))</f>
        <v>7</v>
      </c>
      <c r="J42" s="124" t="s">
        <v>2</v>
      </c>
    </row>
    <row r="43" spans="1:10" customFormat="1" ht="14.4">
      <c r="A43" s="303"/>
      <c r="B43" s="130"/>
      <c r="C43" s="124">
        <v>25</v>
      </c>
      <c r="D43" s="124"/>
      <c r="E43" s="124" t="s">
        <v>16</v>
      </c>
      <c r="F43" s="124" t="s">
        <v>16</v>
      </c>
      <c r="G43" s="125"/>
      <c r="H43" s="116" t="s">
        <v>2156</v>
      </c>
      <c r="I43" s="117">
        <f>IF(H43="","",VLOOKUP(H43,Tabela1[],2,0))</f>
        <v>7</v>
      </c>
      <c r="J43" s="124" t="s">
        <v>2</v>
      </c>
    </row>
    <row r="44" spans="1:10" customFormat="1" ht="14.4">
      <c r="A44" s="303"/>
      <c r="B44" s="130"/>
      <c r="C44" s="124">
        <v>25</v>
      </c>
      <c r="D44" s="124"/>
      <c r="E44" s="124" t="s">
        <v>16</v>
      </c>
      <c r="F44" s="124" t="s">
        <v>16</v>
      </c>
      <c r="G44" s="125"/>
      <c r="H44" s="116" t="s">
        <v>2156</v>
      </c>
      <c r="I44" s="117">
        <f>IF(H44="","",VLOOKUP(H44,Tabela1[],2,0))</f>
        <v>7</v>
      </c>
      <c r="J44" s="124" t="s">
        <v>2</v>
      </c>
    </row>
    <row r="45" spans="1:10" customFormat="1" ht="14.4">
      <c r="A45" s="124"/>
      <c r="B45" s="130"/>
      <c r="C45" s="124">
        <v>25</v>
      </c>
      <c r="D45" s="124"/>
      <c r="E45" s="124" t="s">
        <v>16</v>
      </c>
      <c r="F45" s="124" t="s">
        <v>16</v>
      </c>
      <c r="G45" s="125"/>
      <c r="H45" s="116" t="s">
        <v>2156</v>
      </c>
      <c r="I45" s="117">
        <f>IF(H45="","",VLOOKUP(H45,Tabela1[],2,0))</f>
        <v>7</v>
      </c>
      <c r="J45" s="124" t="s">
        <v>2</v>
      </c>
    </row>
    <row r="46" spans="1:10" customFormat="1" ht="14.4">
      <c r="A46" s="124"/>
      <c r="B46" s="130"/>
      <c r="C46" s="124">
        <v>25</v>
      </c>
      <c r="D46" s="124"/>
      <c r="E46" s="124" t="s">
        <v>16</v>
      </c>
      <c r="F46" s="124" t="s">
        <v>16</v>
      </c>
      <c r="G46" s="125"/>
      <c r="H46" s="116" t="s">
        <v>2156</v>
      </c>
      <c r="I46" s="117">
        <f>IF(H46="","",VLOOKUP(H46,Tabela1[],2,0))</f>
        <v>7</v>
      </c>
      <c r="J46" s="124" t="s">
        <v>2</v>
      </c>
    </row>
    <row r="47" spans="1:10" customFormat="1" ht="14.4">
      <c r="A47" s="124"/>
      <c r="B47" s="130"/>
      <c r="C47" s="124">
        <v>25</v>
      </c>
      <c r="D47" s="124"/>
      <c r="E47" s="124" t="s">
        <v>16</v>
      </c>
      <c r="F47" s="124" t="s">
        <v>16</v>
      </c>
      <c r="G47" s="125"/>
      <c r="H47" s="116" t="s">
        <v>2156</v>
      </c>
      <c r="I47" s="117">
        <f>IF(H47="","",VLOOKUP(H47,Tabela1[],2,0))</f>
        <v>7</v>
      </c>
      <c r="J47" s="124" t="s">
        <v>2</v>
      </c>
    </row>
    <row r="48" spans="1:10" customFormat="1" ht="14.4">
      <c r="A48" s="124"/>
      <c r="B48" s="130"/>
      <c r="C48" s="124">
        <v>25</v>
      </c>
      <c r="D48" s="124"/>
      <c r="E48" s="124" t="s">
        <v>16</v>
      </c>
      <c r="F48" s="124" t="s">
        <v>16</v>
      </c>
      <c r="G48" s="125"/>
      <c r="H48" s="116" t="s">
        <v>2156</v>
      </c>
      <c r="I48" s="117">
        <f>IF(H48="","",VLOOKUP(H48,Tabela1[],2,0))</f>
        <v>7</v>
      </c>
      <c r="J48" s="124" t="s">
        <v>2</v>
      </c>
    </row>
    <row r="49" spans="1:10" customFormat="1" ht="14.4">
      <c r="A49" s="124"/>
      <c r="B49" s="130"/>
      <c r="C49" s="124">
        <v>25</v>
      </c>
      <c r="D49" s="124"/>
      <c r="E49" s="124" t="s">
        <v>16</v>
      </c>
      <c r="F49" s="124" t="s">
        <v>16</v>
      </c>
      <c r="G49" s="125"/>
      <c r="H49" s="116" t="s">
        <v>2156</v>
      </c>
      <c r="I49" s="117">
        <f>IF(H49="","",VLOOKUP(H49,Tabela1[],2,0))</f>
        <v>7</v>
      </c>
      <c r="J49" s="124" t="s">
        <v>2</v>
      </c>
    </row>
    <row r="50" spans="1:10" customFormat="1" ht="14.4">
      <c r="A50" s="67"/>
      <c r="B50" s="67"/>
      <c r="C50" s="67"/>
      <c r="D50" s="67"/>
      <c r="E50" s="67"/>
      <c r="F50" s="67"/>
      <c r="G50" s="69"/>
      <c r="H50" s="68"/>
      <c r="I50" s="69"/>
      <c r="J50" s="67"/>
    </row>
    <row r="51" spans="1:10" customFormat="1" ht="14.4">
      <c r="A51" s="67"/>
      <c r="B51" s="67"/>
      <c r="C51" s="67"/>
      <c r="D51" s="67"/>
      <c r="E51" s="67"/>
      <c r="F51" s="67"/>
      <c r="G51" s="69"/>
      <c r="H51" s="68"/>
      <c r="I51" s="69"/>
      <c r="J51" s="67"/>
    </row>
    <row r="52" spans="1:10" s="115" customFormat="1" ht="25.8">
      <c r="A52" s="113" t="s">
        <v>639</v>
      </c>
      <c r="B52" s="113"/>
      <c r="C52" s="113"/>
      <c r="D52" s="113"/>
      <c r="E52" s="113"/>
      <c r="F52" s="114"/>
      <c r="G52" s="113"/>
      <c r="H52" s="113"/>
      <c r="I52" s="114"/>
      <c r="J52" s="113"/>
    </row>
    <row r="53" spans="1:10" customFormat="1" ht="14.4">
      <c r="A53" s="734"/>
      <c r="B53" s="130"/>
      <c r="C53" s="124">
        <v>25</v>
      </c>
      <c r="D53" s="124"/>
      <c r="E53" s="124" t="s">
        <v>16</v>
      </c>
      <c r="F53" s="124" t="s">
        <v>16</v>
      </c>
      <c r="G53" s="125" t="s">
        <v>16</v>
      </c>
      <c r="H53" s="116" t="s">
        <v>2154</v>
      </c>
      <c r="I53" s="117">
        <f>IF(H53="","",VLOOKUP(H53,Tabela1[],2,0))</f>
        <v>5</v>
      </c>
      <c r="J53" s="124" t="s">
        <v>2</v>
      </c>
    </row>
    <row r="54" spans="1:10" customFormat="1" ht="14.4">
      <c r="A54" s="733"/>
      <c r="B54" s="130"/>
      <c r="C54" s="124">
        <v>25</v>
      </c>
      <c r="D54" s="124"/>
      <c r="E54" s="124" t="s">
        <v>16</v>
      </c>
      <c r="F54" s="124" t="s">
        <v>16</v>
      </c>
      <c r="G54" s="125" t="s">
        <v>16</v>
      </c>
      <c r="H54" s="116" t="s">
        <v>2154</v>
      </c>
      <c r="I54" s="117">
        <f>IF(H54="","",VLOOKUP(H54,Tabela1[],2,0))</f>
        <v>5</v>
      </c>
      <c r="J54" s="124" t="s">
        <v>2</v>
      </c>
    </row>
    <row r="55" spans="1:10" customFormat="1" ht="14.4">
      <c r="A55" s="733"/>
      <c r="B55" s="130"/>
      <c r="C55" s="124">
        <v>25</v>
      </c>
      <c r="D55" s="124"/>
      <c r="E55" s="124" t="s">
        <v>16</v>
      </c>
      <c r="F55" s="124" t="s">
        <v>16</v>
      </c>
      <c r="G55" s="125" t="s">
        <v>16</v>
      </c>
      <c r="H55" s="116" t="s">
        <v>2154</v>
      </c>
      <c r="I55" s="117">
        <f>IF(H55="","",VLOOKUP(H55,Tabela1[],2,0))</f>
        <v>5</v>
      </c>
      <c r="J55" s="124" t="s">
        <v>2</v>
      </c>
    </row>
    <row r="56" spans="1:10" customFormat="1" ht="14.4">
      <c r="A56" s="733"/>
      <c r="B56" s="130"/>
      <c r="C56" s="124">
        <v>25</v>
      </c>
      <c r="D56" s="124"/>
      <c r="E56" s="124" t="s">
        <v>16</v>
      </c>
      <c r="F56" s="124" t="s">
        <v>16</v>
      </c>
      <c r="G56" s="125" t="s">
        <v>16</v>
      </c>
      <c r="H56" s="116" t="s">
        <v>2154</v>
      </c>
      <c r="I56" s="117">
        <f>IF(H56="","",VLOOKUP(H56,Tabela1[],2,0))</f>
        <v>5</v>
      </c>
      <c r="J56" s="124" t="s">
        <v>2</v>
      </c>
    </row>
    <row r="57" spans="1:10" customFormat="1" ht="14.4">
      <c r="A57" s="733"/>
      <c r="B57" s="130"/>
      <c r="C57" s="124">
        <v>25</v>
      </c>
      <c r="D57" s="124"/>
      <c r="E57" s="124" t="s">
        <v>16</v>
      </c>
      <c r="F57" s="124" t="s">
        <v>16</v>
      </c>
      <c r="G57" s="125" t="s">
        <v>16</v>
      </c>
      <c r="H57" s="116" t="s">
        <v>2154</v>
      </c>
      <c r="I57" s="117">
        <f>IF(H57="","",VLOOKUP(H57,Tabela1[],2,0))</f>
        <v>5</v>
      </c>
      <c r="J57" s="124" t="s">
        <v>2</v>
      </c>
    </row>
    <row r="58" spans="1:10" customFormat="1" ht="14.4">
      <c r="A58" s="124"/>
      <c r="B58" s="130"/>
      <c r="C58" s="124">
        <v>25</v>
      </c>
      <c r="D58" s="124"/>
      <c r="E58" s="124" t="s">
        <v>16</v>
      </c>
      <c r="F58" s="124" t="s">
        <v>16</v>
      </c>
      <c r="G58" s="125" t="s">
        <v>16</v>
      </c>
      <c r="H58" s="116" t="s">
        <v>2154</v>
      </c>
      <c r="I58" s="117">
        <f>IF(H58="","",VLOOKUP(H58,Tabela1[],2,0))</f>
        <v>5</v>
      </c>
      <c r="J58" s="124" t="s">
        <v>2</v>
      </c>
    </row>
    <row r="59" spans="1:10" customFormat="1" ht="14.4">
      <c r="A59" s="67"/>
      <c r="B59" s="67"/>
      <c r="C59" s="67"/>
      <c r="D59" s="67"/>
      <c r="E59" s="67"/>
      <c r="F59" s="67"/>
      <c r="G59" s="69"/>
      <c r="H59" s="68"/>
      <c r="I59" s="69"/>
      <c r="J59" s="67"/>
    </row>
    <row r="60" spans="1:10" customFormat="1" ht="14.4">
      <c r="A60" s="67"/>
      <c r="B60" s="67"/>
      <c r="C60" s="67"/>
      <c r="D60" s="67"/>
      <c r="E60" s="67"/>
      <c r="F60" s="67"/>
      <c r="G60" s="69"/>
      <c r="H60" s="68"/>
      <c r="I60" s="69"/>
      <c r="J60" s="67"/>
    </row>
    <row r="61" spans="1:10" s="115" customFormat="1" ht="25.8">
      <c r="A61" s="119" t="s">
        <v>1757</v>
      </c>
      <c r="B61" s="119"/>
      <c r="C61" s="119"/>
      <c r="D61" s="119"/>
      <c r="E61" s="119"/>
      <c r="F61" s="120"/>
      <c r="G61" s="119"/>
      <c r="H61" s="119"/>
      <c r="I61" s="120"/>
      <c r="J61" s="119"/>
    </row>
    <row r="62" spans="1:10" ht="15" customHeight="1">
      <c r="A62" s="121" t="s">
        <v>1762</v>
      </c>
      <c r="B62" s="121">
        <v>7.85</v>
      </c>
      <c r="C62" s="121">
        <v>1</v>
      </c>
      <c r="D62" s="121"/>
      <c r="E62" s="121" t="s">
        <v>16</v>
      </c>
      <c r="F62" s="122" t="s">
        <v>16</v>
      </c>
      <c r="G62" s="121" t="s">
        <v>108</v>
      </c>
      <c r="H62" s="121" t="s">
        <v>2158</v>
      </c>
      <c r="I62" s="122">
        <f>IF(H62="","",VLOOKUP(H62,Tabela1[],2,0))</f>
        <v>9</v>
      </c>
      <c r="J62" s="121" t="s">
        <v>1</v>
      </c>
    </row>
    <row r="63" spans="1:10" ht="15" customHeight="1">
      <c r="A63" s="121" t="s">
        <v>21</v>
      </c>
      <c r="B63" s="121">
        <v>7.85</v>
      </c>
      <c r="C63" s="121">
        <v>1</v>
      </c>
      <c r="D63" s="121"/>
      <c r="E63" s="121" t="s">
        <v>16</v>
      </c>
      <c r="F63" s="122" t="s">
        <v>16</v>
      </c>
      <c r="G63" s="121" t="s">
        <v>108</v>
      </c>
      <c r="H63" s="121" t="s">
        <v>2158</v>
      </c>
      <c r="I63" s="122">
        <f>IF(H63="","",VLOOKUP(H63,Tabela1[],2,0))</f>
        <v>9</v>
      </c>
      <c r="J63" s="121" t="s">
        <v>1</v>
      </c>
    </row>
    <row r="64" spans="1:10" ht="15" customHeight="1">
      <c r="A64" s="121" t="s">
        <v>58</v>
      </c>
      <c r="B64" s="121">
        <v>7.85</v>
      </c>
      <c r="C64" s="121">
        <v>1</v>
      </c>
      <c r="D64" s="121"/>
      <c r="E64" s="121" t="s">
        <v>16</v>
      </c>
      <c r="F64" s="122" t="s">
        <v>16</v>
      </c>
      <c r="G64" s="121" t="s">
        <v>108</v>
      </c>
      <c r="H64" s="121" t="s">
        <v>2158</v>
      </c>
      <c r="I64" s="122">
        <f>IF(H64="","",VLOOKUP(H64,Tabela1[],2,0))</f>
        <v>9</v>
      </c>
      <c r="J64" s="121" t="s">
        <v>1</v>
      </c>
    </row>
    <row r="65" spans="1:10" ht="15" customHeight="1">
      <c r="A65" s="121" t="s">
        <v>1758</v>
      </c>
      <c r="B65" s="121">
        <v>8</v>
      </c>
      <c r="C65" s="121">
        <v>1</v>
      </c>
      <c r="D65" s="121"/>
      <c r="E65" s="121" t="s">
        <v>16</v>
      </c>
      <c r="F65" s="122" t="s">
        <v>16</v>
      </c>
      <c r="G65" s="121" t="s">
        <v>108</v>
      </c>
      <c r="H65" s="121" t="s">
        <v>2158</v>
      </c>
      <c r="I65" s="122">
        <f>IF(H65="","",VLOOKUP(H65,Tabela1[],2,0))</f>
        <v>9</v>
      </c>
      <c r="J65" s="121" t="s">
        <v>1</v>
      </c>
    </row>
    <row r="66" spans="1:10" ht="15" customHeight="1">
      <c r="A66" s="121" t="s">
        <v>1759</v>
      </c>
      <c r="B66" s="121">
        <v>8</v>
      </c>
      <c r="C66" s="121">
        <v>1</v>
      </c>
      <c r="D66" s="121"/>
      <c r="E66" s="121" t="s">
        <v>16</v>
      </c>
      <c r="F66" s="122" t="s">
        <v>16</v>
      </c>
      <c r="G66" s="121" t="s">
        <v>108</v>
      </c>
      <c r="H66" s="121" t="s">
        <v>2158</v>
      </c>
      <c r="I66" s="122">
        <f>IF(H66="","",VLOOKUP(H66,Tabela1[],2,0))</f>
        <v>9</v>
      </c>
      <c r="J66" s="121" t="s">
        <v>1</v>
      </c>
    </row>
    <row r="67" spans="1:10" ht="15" customHeight="1">
      <c r="A67" s="121" t="s">
        <v>1760</v>
      </c>
      <c r="B67" s="121">
        <v>8</v>
      </c>
      <c r="C67" s="121">
        <v>1</v>
      </c>
      <c r="D67" s="121"/>
      <c r="E67" s="121" t="s">
        <v>16</v>
      </c>
      <c r="F67" s="122" t="s">
        <v>16</v>
      </c>
      <c r="G67" s="121" t="s">
        <v>108</v>
      </c>
      <c r="H67" s="121" t="s">
        <v>2158</v>
      </c>
      <c r="I67" s="122">
        <f>IF(H67="","",VLOOKUP(H67,Tabela1[],2,0))</f>
        <v>9</v>
      </c>
      <c r="J67" s="121" t="s">
        <v>1</v>
      </c>
    </row>
    <row r="68" spans="1:10" ht="15" customHeight="1">
      <c r="A68" s="121" t="s">
        <v>1763</v>
      </c>
      <c r="B68" s="121">
        <v>8</v>
      </c>
      <c r="C68" s="121">
        <v>1</v>
      </c>
      <c r="D68" s="121"/>
      <c r="E68" s="121" t="s">
        <v>16</v>
      </c>
      <c r="F68" s="122" t="s">
        <v>16</v>
      </c>
      <c r="G68" s="121" t="s">
        <v>108</v>
      </c>
      <c r="H68" s="121" t="s">
        <v>2158</v>
      </c>
      <c r="I68" s="122">
        <f>IF(H68="","",VLOOKUP(H68,Tabela1[],2,0))</f>
        <v>9</v>
      </c>
      <c r="J68" s="121" t="s">
        <v>1</v>
      </c>
    </row>
    <row r="69" spans="1:10" ht="15" customHeight="1">
      <c r="A69" s="121" t="s">
        <v>1761</v>
      </c>
      <c r="B69" s="121">
        <v>8</v>
      </c>
      <c r="C69" s="121">
        <v>1</v>
      </c>
      <c r="D69" s="121"/>
      <c r="E69" s="121" t="s">
        <v>16</v>
      </c>
      <c r="F69" s="122" t="s">
        <v>16</v>
      </c>
      <c r="G69" s="121" t="s">
        <v>108</v>
      </c>
      <c r="H69" s="121" t="s">
        <v>2158</v>
      </c>
      <c r="I69" s="122">
        <f>IF(H69="","",VLOOKUP(H69,Tabela1[],2,0))</f>
        <v>9</v>
      </c>
      <c r="J69" s="121" t="s">
        <v>1</v>
      </c>
    </row>
    <row r="70" spans="1:10" ht="15" customHeight="1">
      <c r="A70" s="330" t="s">
        <v>1083</v>
      </c>
      <c r="B70" s="121">
        <v>1</v>
      </c>
      <c r="C70" s="121">
        <v>185</v>
      </c>
      <c r="D70" s="121"/>
      <c r="E70" s="121" t="s">
        <v>1091</v>
      </c>
      <c r="F70" s="122" t="s">
        <v>16</v>
      </c>
      <c r="G70" s="121" t="s">
        <v>108</v>
      </c>
      <c r="H70" s="121" t="s">
        <v>2158</v>
      </c>
      <c r="I70" s="122">
        <f>IF(H70="","",VLOOKUP(H70,Tabela1[],2,0))</f>
        <v>9</v>
      </c>
      <c r="J70" s="121" t="s">
        <v>1</v>
      </c>
    </row>
    <row r="71" spans="1:10" ht="15" customHeight="1">
      <c r="A71" s="330" t="s">
        <v>1084</v>
      </c>
      <c r="B71" s="121">
        <v>1</v>
      </c>
      <c r="C71" s="121">
        <v>140</v>
      </c>
      <c r="D71" s="121"/>
      <c r="E71" s="121" t="s">
        <v>1092</v>
      </c>
      <c r="F71" s="122" t="s">
        <v>16</v>
      </c>
      <c r="G71" s="121" t="s">
        <v>108</v>
      </c>
      <c r="H71" s="121" t="s">
        <v>2158</v>
      </c>
      <c r="I71" s="122">
        <f>IF(H71="","",VLOOKUP(H71,Tabela1[],2,0))</f>
        <v>9</v>
      </c>
      <c r="J71" s="121" t="s">
        <v>1</v>
      </c>
    </row>
    <row r="72" spans="1:10" ht="15" customHeight="1">
      <c r="A72" s="330" t="s">
        <v>1085</v>
      </c>
      <c r="B72" s="121">
        <v>1</v>
      </c>
      <c r="C72" s="121">
        <v>120</v>
      </c>
      <c r="D72" s="121"/>
      <c r="E72" s="121" t="s">
        <v>1093</v>
      </c>
      <c r="F72" s="122" t="s">
        <v>16</v>
      </c>
      <c r="G72" s="121" t="s">
        <v>108</v>
      </c>
      <c r="H72" s="121" t="s">
        <v>2158</v>
      </c>
      <c r="I72" s="122">
        <f>IF(H72="","",VLOOKUP(H72,Tabela1[],2,0))</f>
        <v>9</v>
      </c>
      <c r="J72" s="121" t="s">
        <v>1</v>
      </c>
    </row>
    <row r="73" spans="1:10" ht="15" customHeight="1">
      <c r="A73" s="330" t="s">
        <v>1086</v>
      </c>
      <c r="B73" s="121">
        <v>1</v>
      </c>
      <c r="C73" s="121">
        <v>180</v>
      </c>
      <c r="D73" s="121"/>
      <c r="E73" s="121" t="s">
        <v>1093</v>
      </c>
      <c r="F73" s="122" t="s">
        <v>16</v>
      </c>
      <c r="G73" s="121" t="s">
        <v>108</v>
      </c>
      <c r="H73" s="121" t="s">
        <v>2158</v>
      </c>
      <c r="I73" s="122">
        <f>IF(H73="","",VLOOKUP(H73,Tabela1[],2,0))</f>
        <v>9</v>
      </c>
      <c r="J73" s="121" t="s">
        <v>1</v>
      </c>
    </row>
    <row r="74" spans="1:10" ht="15" customHeight="1">
      <c r="A74" s="330" t="s">
        <v>1837</v>
      </c>
      <c r="B74" s="121">
        <v>1</v>
      </c>
      <c r="C74" s="121">
        <v>140</v>
      </c>
      <c r="D74" s="121"/>
      <c r="E74" s="330" t="s">
        <v>1839</v>
      </c>
      <c r="F74" s="122" t="s">
        <v>16</v>
      </c>
      <c r="G74" s="121" t="s">
        <v>108</v>
      </c>
      <c r="H74" s="121" t="s">
        <v>2158</v>
      </c>
      <c r="I74" s="122">
        <f>IF(H74="","",VLOOKUP(H74,Tabela1[],2,0))</f>
        <v>9</v>
      </c>
      <c r="J74" s="121" t="s">
        <v>1</v>
      </c>
    </row>
    <row r="75" spans="1:10" ht="15" customHeight="1">
      <c r="A75" s="330" t="s">
        <v>1838</v>
      </c>
      <c r="B75" s="121">
        <v>1</v>
      </c>
      <c r="C75" s="121">
        <v>140</v>
      </c>
      <c r="D75" s="121"/>
      <c r="E75" s="330" t="s">
        <v>1840</v>
      </c>
      <c r="F75" s="122" t="s">
        <v>16</v>
      </c>
      <c r="G75" s="121" t="s">
        <v>108</v>
      </c>
      <c r="H75" s="121" t="s">
        <v>2158</v>
      </c>
      <c r="I75" s="122">
        <f>IF(H75="","",VLOOKUP(H75,Tabela1[],2,0))</f>
        <v>9</v>
      </c>
      <c r="J75" s="121" t="s">
        <v>1</v>
      </c>
    </row>
    <row r="76" spans="1:10" customFormat="1" ht="14.4">
      <c r="A76" s="67"/>
      <c r="B76" s="67"/>
      <c r="C76" s="67"/>
      <c r="D76" s="67"/>
      <c r="E76" s="67"/>
      <c r="F76" s="67"/>
      <c r="G76" s="69"/>
      <c r="H76" s="68"/>
      <c r="I76" s="69"/>
      <c r="J76" s="67"/>
    </row>
    <row r="77" spans="1:10" customFormat="1" ht="14.4">
      <c r="A77" s="67"/>
      <c r="B77" s="67"/>
      <c r="C77" s="67"/>
      <c r="D77" s="67"/>
      <c r="E77" s="67"/>
      <c r="F77" s="67"/>
      <c r="G77" s="69"/>
      <c r="H77" s="68"/>
      <c r="I77" s="69"/>
      <c r="J77" s="67"/>
    </row>
    <row r="78" spans="1:10" s="115" customFormat="1" ht="25.8">
      <c r="A78" s="119" t="s">
        <v>640</v>
      </c>
      <c r="B78" s="119"/>
      <c r="C78" s="119"/>
      <c r="D78" s="119"/>
      <c r="E78" s="119"/>
      <c r="F78" s="120"/>
      <c r="G78" s="119"/>
      <c r="H78" s="119"/>
      <c r="I78" s="120"/>
      <c r="J78" s="119"/>
    </row>
    <row r="79" spans="1:10" ht="15" customHeight="1">
      <c r="A79" s="97" t="s">
        <v>74</v>
      </c>
      <c r="B79" s="97">
        <v>1.55</v>
      </c>
      <c r="C79" s="97">
        <v>35</v>
      </c>
      <c r="D79" s="97"/>
      <c r="E79" s="97" t="s">
        <v>509</v>
      </c>
      <c r="F79" s="98" t="s">
        <v>16</v>
      </c>
      <c r="G79" s="97">
        <v>22</v>
      </c>
      <c r="H79" s="67" t="s">
        <v>2154</v>
      </c>
      <c r="I79" s="68">
        <f>IF(H79="","",VLOOKUP(H79,Tabela1[],2,0))</f>
        <v>5</v>
      </c>
      <c r="J79" s="97" t="s">
        <v>2</v>
      </c>
    </row>
    <row r="80" spans="1:10" ht="15" customHeight="1">
      <c r="A80" s="67" t="s">
        <v>73</v>
      </c>
      <c r="B80" s="67">
        <v>0.8</v>
      </c>
      <c r="C80" s="67">
        <v>20</v>
      </c>
      <c r="D80" s="67"/>
      <c r="E80" s="67" t="s">
        <v>509</v>
      </c>
      <c r="F80" s="68" t="s">
        <v>16</v>
      </c>
      <c r="G80" s="67">
        <v>22</v>
      </c>
      <c r="H80" s="67" t="s">
        <v>2154</v>
      </c>
      <c r="I80" s="68">
        <f>IF(H80="","",VLOOKUP(H80,Tabela1[],2,0))</f>
        <v>5</v>
      </c>
      <c r="J80" s="67" t="s">
        <v>2</v>
      </c>
    </row>
    <row r="81" spans="1:10" ht="15" customHeight="1">
      <c r="A81" s="67" t="s">
        <v>522</v>
      </c>
      <c r="B81" s="67">
        <v>0.20200000000000001</v>
      </c>
      <c r="C81" s="67">
        <v>1</v>
      </c>
      <c r="D81" s="67"/>
      <c r="E81" s="67" t="s">
        <v>646</v>
      </c>
      <c r="F81" s="68" t="s">
        <v>510</v>
      </c>
      <c r="G81" s="67" t="s">
        <v>108</v>
      </c>
      <c r="H81" s="67" t="s">
        <v>2152</v>
      </c>
      <c r="I81" s="68">
        <f>IF(H81="","",VLOOKUP(H81,Tabela1[],2,0))</f>
        <v>3</v>
      </c>
      <c r="J81" s="67" t="s">
        <v>1</v>
      </c>
    </row>
    <row r="82" spans="1:10" ht="15" customHeight="1">
      <c r="A82" s="67" t="s">
        <v>521</v>
      </c>
      <c r="B82" s="67">
        <v>0.39200000000000002</v>
      </c>
      <c r="C82" s="67">
        <v>1</v>
      </c>
      <c r="D82" s="67"/>
      <c r="E82" s="67" t="s">
        <v>646</v>
      </c>
      <c r="F82" s="68" t="s">
        <v>510</v>
      </c>
      <c r="G82" s="67" t="s">
        <v>108</v>
      </c>
      <c r="H82" s="67" t="s">
        <v>2152</v>
      </c>
      <c r="I82" s="68">
        <f>IF(H82="","",VLOOKUP(H82,Tabela1[],2,0))</f>
        <v>3</v>
      </c>
      <c r="J82" s="67" t="s">
        <v>1</v>
      </c>
    </row>
    <row r="83" spans="1:10" ht="15" customHeight="1">
      <c r="A83" s="67" t="s">
        <v>511</v>
      </c>
      <c r="B83" s="67">
        <v>0.5</v>
      </c>
      <c r="C83" s="67">
        <v>1</v>
      </c>
      <c r="D83" s="67"/>
      <c r="E83" s="67" t="s">
        <v>16</v>
      </c>
      <c r="F83" s="68" t="s">
        <v>510</v>
      </c>
      <c r="G83" s="67" t="s">
        <v>108</v>
      </c>
      <c r="H83" s="67" t="s">
        <v>2151</v>
      </c>
      <c r="I83" s="68">
        <f>IF(H83="","",VLOOKUP(H83,Tabela1[],2,0))</f>
        <v>2</v>
      </c>
      <c r="J83" s="67" t="s">
        <v>1</v>
      </c>
    </row>
    <row r="84" spans="1:10" ht="15" customHeight="1">
      <c r="A84" s="67" t="s">
        <v>512</v>
      </c>
      <c r="B84" s="67">
        <v>0.6</v>
      </c>
      <c r="C84" s="67">
        <v>1</v>
      </c>
      <c r="D84" s="67"/>
      <c r="E84" s="67" t="s">
        <v>16</v>
      </c>
      <c r="F84" s="68" t="s">
        <v>510</v>
      </c>
      <c r="G84" s="67" t="s">
        <v>108</v>
      </c>
      <c r="H84" s="67" t="s">
        <v>2151</v>
      </c>
      <c r="I84" s="68">
        <f>IF(H84="","",VLOOKUP(H84,Tabela1[],2,0))</f>
        <v>2</v>
      </c>
      <c r="J84" s="67" t="s">
        <v>1</v>
      </c>
    </row>
    <row r="85" spans="1:10" ht="15" customHeight="1">
      <c r="A85" s="67" t="s">
        <v>513</v>
      </c>
      <c r="B85" s="67">
        <v>0.8</v>
      </c>
      <c r="C85" s="67">
        <v>1</v>
      </c>
      <c r="D85" s="67"/>
      <c r="E85" s="67" t="s">
        <v>16</v>
      </c>
      <c r="F85" s="68" t="s">
        <v>510</v>
      </c>
      <c r="G85" s="67" t="s">
        <v>108</v>
      </c>
      <c r="H85" s="67" t="s">
        <v>2151</v>
      </c>
      <c r="I85" s="68">
        <f>IF(H85="","",VLOOKUP(H85,Tabela1[],2,0))</f>
        <v>2</v>
      </c>
      <c r="J85" s="67" t="s">
        <v>1</v>
      </c>
    </row>
    <row r="86" spans="1:10" ht="15" customHeight="1">
      <c r="A86" s="67" t="s">
        <v>514</v>
      </c>
      <c r="B86" s="67">
        <v>0.9</v>
      </c>
      <c r="C86" s="67">
        <v>1</v>
      </c>
      <c r="D86" s="67"/>
      <c r="E86" s="67" t="s">
        <v>16</v>
      </c>
      <c r="F86" s="68" t="s">
        <v>510</v>
      </c>
      <c r="G86" s="67" t="s">
        <v>108</v>
      </c>
      <c r="H86" s="67" t="s">
        <v>2151</v>
      </c>
      <c r="I86" s="68">
        <f>IF(H86="","",VLOOKUP(H86,Tabela1[],2,0))</f>
        <v>2</v>
      </c>
      <c r="J86" s="67" t="s">
        <v>1</v>
      </c>
    </row>
    <row r="87" spans="1:10" ht="15" customHeight="1">
      <c r="A87" s="67" t="s">
        <v>515</v>
      </c>
      <c r="B87" s="67">
        <v>1</v>
      </c>
      <c r="C87" s="67">
        <v>1</v>
      </c>
      <c r="D87" s="67"/>
      <c r="E87" s="67" t="s">
        <v>16</v>
      </c>
      <c r="F87" s="68" t="s">
        <v>510</v>
      </c>
      <c r="G87" s="67" t="s">
        <v>108</v>
      </c>
      <c r="H87" s="67" t="s">
        <v>2151</v>
      </c>
      <c r="I87" s="68">
        <f>IF(H87="","",VLOOKUP(H87,Tabela1[],2,0))</f>
        <v>2</v>
      </c>
      <c r="J87" s="67" t="s">
        <v>1</v>
      </c>
    </row>
    <row r="88" spans="1:10" ht="15" customHeight="1">
      <c r="A88" s="67" t="s">
        <v>516</v>
      </c>
      <c r="B88" s="67">
        <v>1.2</v>
      </c>
      <c r="C88" s="67">
        <v>1</v>
      </c>
      <c r="D88" s="67"/>
      <c r="E88" s="67" t="s">
        <v>16</v>
      </c>
      <c r="F88" s="68" t="s">
        <v>510</v>
      </c>
      <c r="G88" s="67" t="s">
        <v>108</v>
      </c>
      <c r="H88" s="67" t="s">
        <v>2151</v>
      </c>
      <c r="I88" s="68">
        <f>IF(H88="","",VLOOKUP(H88,Tabela1[],2,0))</f>
        <v>2</v>
      </c>
      <c r="J88" s="67" t="s">
        <v>1</v>
      </c>
    </row>
    <row r="89" spans="1:10" ht="15" customHeight="1">
      <c r="A89" s="67" t="s">
        <v>517</v>
      </c>
      <c r="B89" s="67">
        <v>1.75</v>
      </c>
      <c r="C89" s="67">
        <v>1</v>
      </c>
      <c r="D89" s="67"/>
      <c r="E89" s="67" t="s">
        <v>16</v>
      </c>
      <c r="F89" s="68" t="s">
        <v>510</v>
      </c>
      <c r="G89" s="67" t="s">
        <v>108</v>
      </c>
      <c r="H89" s="67" t="s">
        <v>2151</v>
      </c>
      <c r="I89" s="68">
        <f>IF(H89="","",VLOOKUP(H89,Tabela1[],2,0))</f>
        <v>2</v>
      </c>
      <c r="J89" s="67" t="s">
        <v>1</v>
      </c>
    </row>
    <row r="90" spans="1:10" ht="15" customHeight="1">
      <c r="A90" s="67" t="s">
        <v>389</v>
      </c>
      <c r="B90" s="67">
        <v>1</v>
      </c>
      <c r="C90" s="67">
        <v>1</v>
      </c>
      <c r="D90" s="67"/>
      <c r="E90" s="67" t="s">
        <v>16</v>
      </c>
      <c r="F90" s="68" t="s">
        <v>510</v>
      </c>
      <c r="G90" s="67" t="s">
        <v>108</v>
      </c>
      <c r="H90" s="67" t="s">
        <v>2152</v>
      </c>
      <c r="I90" s="68">
        <f>IF(H90="","",VLOOKUP(H90,Tabela1[],2,0))</f>
        <v>3</v>
      </c>
      <c r="J90" s="67" t="s">
        <v>1</v>
      </c>
    </row>
    <row r="91" spans="1:10" ht="15" customHeight="1">
      <c r="A91" s="67" t="s">
        <v>72</v>
      </c>
      <c r="B91" s="67">
        <v>0.85</v>
      </c>
      <c r="C91" s="67">
        <v>1</v>
      </c>
      <c r="D91" s="67"/>
      <c r="E91" s="67" t="s">
        <v>16</v>
      </c>
      <c r="F91" s="68" t="s">
        <v>510</v>
      </c>
      <c r="G91" s="67" t="s">
        <v>108</v>
      </c>
      <c r="H91" s="67" t="s">
        <v>2152</v>
      </c>
      <c r="I91" s="68">
        <f>IF(H91="","",VLOOKUP(H91,Tabela1[],2,0))</f>
        <v>3</v>
      </c>
      <c r="J91" s="67" t="s">
        <v>1</v>
      </c>
    </row>
    <row r="92" spans="1:10" ht="15" customHeight="1">
      <c r="A92" s="67" t="s">
        <v>390</v>
      </c>
      <c r="B92" s="67">
        <v>0.85</v>
      </c>
      <c r="C92" s="67">
        <v>1</v>
      </c>
      <c r="D92" s="67"/>
      <c r="E92" s="67" t="s">
        <v>16</v>
      </c>
      <c r="F92" s="68" t="s">
        <v>510</v>
      </c>
      <c r="G92" s="67" t="s">
        <v>108</v>
      </c>
      <c r="H92" s="67" t="s">
        <v>2152</v>
      </c>
      <c r="I92" s="68">
        <f>IF(H92="","",VLOOKUP(H92,Tabela1[],2,0))</f>
        <v>3</v>
      </c>
      <c r="J92" s="67" t="s">
        <v>1</v>
      </c>
    </row>
    <row r="93" spans="1:10" ht="15" customHeight="1">
      <c r="A93" s="67" t="s">
        <v>391</v>
      </c>
      <c r="B93" s="67">
        <v>0.85</v>
      </c>
      <c r="C93" s="67">
        <v>1</v>
      </c>
      <c r="D93" s="67"/>
      <c r="E93" s="67" t="s">
        <v>16</v>
      </c>
      <c r="F93" s="68" t="s">
        <v>510</v>
      </c>
      <c r="G93" s="67" t="s">
        <v>108</v>
      </c>
      <c r="H93" s="67" t="s">
        <v>2152</v>
      </c>
      <c r="I93" s="68">
        <f>IF(H93="","",VLOOKUP(H93,Tabela1[],2,0))</f>
        <v>3</v>
      </c>
      <c r="J93" s="67" t="s">
        <v>1</v>
      </c>
    </row>
    <row r="94" spans="1:10" ht="15" customHeight="1">
      <c r="A94" s="339" t="s">
        <v>1805</v>
      </c>
      <c r="B94" s="67">
        <v>0.85</v>
      </c>
      <c r="C94" s="67">
        <v>1</v>
      </c>
      <c r="D94" s="67"/>
      <c r="E94" s="67" t="s">
        <v>16</v>
      </c>
      <c r="F94" s="68" t="s">
        <v>510</v>
      </c>
      <c r="G94" s="67" t="s">
        <v>108</v>
      </c>
      <c r="H94" s="67" t="s">
        <v>2152</v>
      </c>
      <c r="I94" s="68">
        <f>IF(H94="","",VLOOKUP(H94,Tabela1[],2,0))</f>
        <v>3</v>
      </c>
      <c r="J94" s="67" t="s">
        <v>1</v>
      </c>
    </row>
    <row r="95" spans="1:10" ht="15" customHeight="1">
      <c r="A95" s="67" t="s">
        <v>20</v>
      </c>
      <c r="B95" s="67">
        <v>0.245</v>
      </c>
      <c r="C95" s="67">
        <v>1</v>
      </c>
      <c r="D95" s="67"/>
      <c r="E95" s="67" t="s">
        <v>646</v>
      </c>
      <c r="F95" s="68" t="s">
        <v>510</v>
      </c>
      <c r="G95" s="67" t="s">
        <v>108</v>
      </c>
      <c r="H95" s="67" t="s">
        <v>2152</v>
      </c>
      <c r="I95" s="68">
        <f>IF(H95="","",VLOOKUP(H95,Tabela1[],2,0))</f>
        <v>3</v>
      </c>
      <c r="J95" s="67" t="s">
        <v>1</v>
      </c>
    </row>
    <row r="96" spans="1:10" ht="15" customHeight="1">
      <c r="A96" s="67" t="s">
        <v>114</v>
      </c>
      <c r="B96" s="67">
        <v>0.22500000000000001</v>
      </c>
      <c r="C96" s="67">
        <v>1</v>
      </c>
      <c r="D96" s="67"/>
      <c r="E96" s="67" t="s">
        <v>646</v>
      </c>
      <c r="F96" s="68" t="s">
        <v>510</v>
      </c>
      <c r="G96" s="67" t="s">
        <v>108</v>
      </c>
      <c r="H96" s="67" t="s">
        <v>2152</v>
      </c>
      <c r="I96" s="68">
        <f>IF(H96="","",VLOOKUP(H96,Tabela1[],2,0))</f>
        <v>3</v>
      </c>
      <c r="J96" s="67" t="s">
        <v>1</v>
      </c>
    </row>
    <row r="97" spans="1:10" ht="15" customHeight="1">
      <c r="A97" s="67" t="s">
        <v>663</v>
      </c>
      <c r="B97" s="67">
        <v>0.95</v>
      </c>
      <c r="C97" s="67">
        <v>1</v>
      </c>
      <c r="D97" s="67"/>
      <c r="E97" s="67" t="s">
        <v>646</v>
      </c>
      <c r="F97" s="68" t="s">
        <v>510</v>
      </c>
      <c r="G97" s="67" t="s">
        <v>108</v>
      </c>
      <c r="H97" s="67" t="s">
        <v>2151</v>
      </c>
      <c r="I97" s="68">
        <f>IF(H97="","",VLOOKUP(H97,Tabela1[],2,0))</f>
        <v>2</v>
      </c>
      <c r="J97" s="67" t="s">
        <v>1</v>
      </c>
    </row>
    <row r="98" spans="1:10" ht="15" customHeight="1">
      <c r="A98" s="67" t="s">
        <v>1764</v>
      </c>
      <c r="B98" s="67">
        <v>0.24</v>
      </c>
      <c r="C98" s="67">
        <v>1</v>
      </c>
      <c r="D98" s="67"/>
      <c r="E98" s="67" t="s">
        <v>16</v>
      </c>
      <c r="F98" s="68" t="s">
        <v>510</v>
      </c>
      <c r="G98" s="67" t="s">
        <v>108</v>
      </c>
      <c r="H98" s="67" t="s">
        <v>2152</v>
      </c>
      <c r="I98" s="68">
        <f>IF(H98="","",VLOOKUP(H98,Tabela1[],2,0))</f>
        <v>3</v>
      </c>
      <c r="J98" s="67" t="s">
        <v>1</v>
      </c>
    </row>
    <row r="99" spans="1:10" ht="15" customHeight="1">
      <c r="A99" s="67" t="s">
        <v>1765</v>
      </c>
      <c r="B99" s="67">
        <v>0.27</v>
      </c>
      <c r="C99" s="67">
        <v>1</v>
      </c>
      <c r="D99" s="67"/>
      <c r="E99" s="67" t="s">
        <v>16</v>
      </c>
      <c r="F99" s="68" t="s">
        <v>510</v>
      </c>
      <c r="G99" s="67" t="s">
        <v>108</v>
      </c>
      <c r="H99" s="67" t="s">
        <v>2152</v>
      </c>
      <c r="I99" s="68">
        <f>IF(H99="","",VLOOKUP(H99,Tabela1[],2,0))</f>
        <v>3</v>
      </c>
      <c r="J99" s="67" t="s">
        <v>1</v>
      </c>
    </row>
    <row r="100" spans="1:10" ht="15" customHeight="1">
      <c r="A100" s="67" t="s">
        <v>1825</v>
      </c>
      <c r="B100" s="67">
        <v>0.24</v>
      </c>
      <c r="C100" s="67">
        <v>1</v>
      </c>
      <c r="D100" s="67"/>
      <c r="E100" s="67" t="s">
        <v>16</v>
      </c>
      <c r="F100" s="68" t="s">
        <v>510</v>
      </c>
      <c r="G100" s="67" t="s">
        <v>108</v>
      </c>
      <c r="H100" s="67" t="s">
        <v>2152</v>
      </c>
      <c r="I100" s="68">
        <f>IF(H100="","",VLOOKUP(H100,Tabela1[],2,0))</f>
        <v>3</v>
      </c>
      <c r="J100" s="67" t="s">
        <v>1</v>
      </c>
    </row>
    <row r="101" spans="1:10" ht="15" customHeight="1">
      <c r="A101" s="67" t="s">
        <v>1826</v>
      </c>
      <c r="B101" s="67">
        <v>0.27</v>
      </c>
      <c r="C101" s="67">
        <v>1</v>
      </c>
      <c r="D101" s="67"/>
      <c r="E101" s="67" t="s">
        <v>16</v>
      </c>
      <c r="F101" s="68" t="s">
        <v>510</v>
      </c>
      <c r="G101" s="67" t="s">
        <v>108</v>
      </c>
      <c r="H101" s="67" t="s">
        <v>2152</v>
      </c>
      <c r="I101" s="68">
        <f>IF(H101="","",VLOOKUP(H101,Tabela1[],2,0))</f>
        <v>3</v>
      </c>
      <c r="J101" s="67" t="s">
        <v>1</v>
      </c>
    </row>
    <row r="102" spans="1:10" customFormat="1" ht="14.4">
      <c r="A102" s="67"/>
      <c r="B102" s="67"/>
      <c r="C102" s="67"/>
      <c r="D102" s="67"/>
      <c r="E102" s="67"/>
      <c r="F102" s="67"/>
      <c r="G102" s="69"/>
      <c r="H102" s="68"/>
      <c r="I102" s="69"/>
      <c r="J102" s="67"/>
    </row>
    <row r="103" spans="1:10" customFormat="1" ht="14.4">
      <c r="A103" s="67"/>
      <c r="B103" s="67"/>
      <c r="C103" s="67"/>
      <c r="D103" s="67"/>
      <c r="E103" s="67"/>
      <c r="F103" s="67"/>
      <c r="G103" s="69"/>
      <c r="H103" s="68"/>
      <c r="I103" s="69"/>
      <c r="J103" s="67"/>
    </row>
    <row r="104" spans="1:10" s="115" customFormat="1" ht="25.8">
      <c r="A104" s="119" t="s">
        <v>641</v>
      </c>
      <c r="B104" s="119"/>
      <c r="C104" s="119"/>
      <c r="D104" s="119"/>
      <c r="E104" s="119"/>
      <c r="F104" s="120"/>
      <c r="G104" s="119"/>
      <c r="H104" s="119"/>
      <c r="I104" s="120"/>
      <c r="J104" s="119"/>
    </row>
    <row r="105" spans="1:10" ht="15" customHeight="1">
      <c r="A105" s="582" t="s">
        <v>1806</v>
      </c>
      <c r="B105" s="478">
        <v>9.6000000000000002E-2</v>
      </c>
      <c r="C105" s="478">
        <v>1</v>
      </c>
      <c r="D105" s="478"/>
      <c r="E105" s="478" t="s">
        <v>16</v>
      </c>
      <c r="F105" s="383" t="s">
        <v>16</v>
      </c>
      <c r="G105" s="478" t="s">
        <v>108</v>
      </c>
      <c r="H105" s="582" t="s">
        <v>2153</v>
      </c>
      <c r="I105" s="583">
        <f>IF(H105="","",VLOOKUP(H105,Tabela1[],2,0))</f>
        <v>4</v>
      </c>
      <c r="J105" s="582" t="s">
        <v>1</v>
      </c>
    </row>
    <row r="106" spans="1:10" ht="15" customHeight="1">
      <c r="A106" s="478" t="s">
        <v>1807</v>
      </c>
      <c r="B106" s="478">
        <v>0.128</v>
      </c>
      <c r="C106" s="478">
        <v>1</v>
      </c>
      <c r="D106" s="478"/>
      <c r="E106" s="478" t="s">
        <v>16</v>
      </c>
      <c r="F106" s="383" t="s">
        <v>16</v>
      </c>
      <c r="G106" s="478" t="s">
        <v>108</v>
      </c>
      <c r="H106" s="582" t="s">
        <v>2153</v>
      </c>
      <c r="I106" s="583">
        <f>IF(H106="","",VLOOKUP(H106,Tabela1[],2,0))</f>
        <v>4</v>
      </c>
      <c r="J106" s="582" t="s">
        <v>1</v>
      </c>
    </row>
    <row r="107" spans="1:10" ht="15" customHeight="1">
      <c r="A107" s="478" t="s">
        <v>1808</v>
      </c>
      <c r="B107" s="478">
        <v>0.16</v>
      </c>
      <c r="C107" s="478">
        <v>1</v>
      </c>
      <c r="D107" s="478"/>
      <c r="E107" s="478" t="s">
        <v>16</v>
      </c>
      <c r="F107" s="383" t="s">
        <v>16</v>
      </c>
      <c r="G107" s="478" t="s">
        <v>108</v>
      </c>
      <c r="H107" s="582" t="s">
        <v>2153</v>
      </c>
      <c r="I107" s="583">
        <f>IF(H107="","",VLOOKUP(H107,Tabela1[],2,0))</f>
        <v>4</v>
      </c>
      <c r="J107" s="582" t="s">
        <v>1</v>
      </c>
    </row>
    <row r="108" spans="1:10" ht="15" customHeight="1">
      <c r="A108" s="478" t="s">
        <v>1809</v>
      </c>
      <c r="B108" s="478">
        <v>0.192</v>
      </c>
      <c r="C108" s="478">
        <v>1</v>
      </c>
      <c r="D108" s="478"/>
      <c r="E108" s="478" t="s">
        <v>16</v>
      </c>
      <c r="F108" s="383" t="s">
        <v>16</v>
      </c>
      <c r="G108" s="478" t="s">
        <v>108</v>
      </c>
      <c r="H108" s="582" t="s">
        <v>2153</v>
      </c>
      <c r="I108" s="583">
        <f>IF(H108="","",VLOOKUP(H108,Tabela1[],2,0))</f>
        <v>4</v>
      </c>
      <c r="J108" s="582" t="s">
        <v>1</v>
      </c>
    </row>
    <row r="109" spans="1:10" ht="15" customHeight="1">
      <c r="A109" s="478" t="s">
        <v>1810</v>
      </c>
      <c r="B109" s="478">
        <v>0.22</v>
      </c>
      <c r="C109" s="478">
        <v>1</v>
      </c>
      <c r="D109" s="478"/>
      <c r="E109" s="478" t="s">
        <v>16</v>
      </c>
      <c r="F109" s="383" t="s">
        <v>16</v>
      </c>
      <c r="G109" s="478" t="s">
        <v>108</v>
      </c>
      <c r="H109" s="582" t="s">
        <v>2153</v>
      </c>
      <c r="I109" s="583">
        <f>IF(H109="","",VLOOKUP(H109,Tabela1[],2,0))</f>
        <v>4</v>
      </c>
      <c r="J109" s="582" t="s">
        <v>1</v>
      </c>
    </row>
    <row r="110" spans="1:10" ht="15" customHeight="1">
      <c r="A110" s="478" t="s">
        <v>1811</v>
      </c>
      <c r="B110" s="478">
        <v>9.6000000000000002E-2</v>
      </c>
      <c r="C110" s="478">
        <v>1</v>
      </c>
      <c r="D110" s="478"/>
      <c r="E110" s="478" t="s">
        <v>16</v>
      </c>
      <c r="F110" s="383" t="s">
        <v>16</v>
      </c>
      <c r="G110" s="478" t="s">
        <v>108</v>
      </c>
      <c r="H110" s="582" t="s">
        <v>2153</v>
      </c>
      <c r="I110" s="583">
        <f>IF(H110="","",VLOOKUP(H110,Tabela1[],2,0))</f>
        <v>4</v>
      </c>
      <c r="J110" s="582" t="s">
        <v>2</v>
      </c>
    </row>
    <row r="111" spans="1:10" ht="15" customHeight="1">
      <c r="A111" s="478" t="s">
        <v>1812</v>
      </c>
      <c r="B111" s="478">
        <v>0.128</v>
      </c>
      <c r="C111" s="478">
        <v>1</v>
      </c>
      <c r="D111" s="478"/>
      <c r="E111" s="478" t="s">
        <v>16</v>
      </c>
      <c r="F111" s="383" t="s">
        <v>16</v>
      </c>
      <c r="G111" s="478" t="s">
        <v>108</v>
      </c>
      <c r="H111" s="582" t="s">
        <v>2153</v>
      </c>
      <c r="I111" s="583">
        <f>IF(H111="","",VLOOKUP(H111,Tabela1[],2,0))</f>
        <v>4</v>
      </c>
      <c r="J111" s="582" t="s">
        <v>2</v>
      </c>
    </row>
    <row r="112" spans="1:10" ht="15" customHeight="1">
      <c r="A112" s="478" t="s">
        <v>1813</v>
      </c>
      <c r="B112" s="478">
        <v>0.21</v>
      </c>
      <c r="C112" s="478">
        <v>1</v>
      </c>
      <c r="D112" s="478"/>
      <c r="E112" s="478" t="s">
        <v>16</v>
      </c>
      <c r="F112" s="383" t="s">
        <v>16</v>
      </c>
      <c r="G112" s="478" t="s">
        <v>108</v>
      </c>
      <c r="H112" s="582" t="s">
        <v>2153</v>
      </c>
      <c r="I112" s="583">
        <f>IF(H112="","",VLOOKUP(H112,Tabela1[],2,0))</f>
        <v>4</v>
      </c>
      <c r="J112" s="582" t="s">
        <v>1</v>
      </c>
    </row>
    <row r="113" spans="1:10" ht="15" customHeight="1">
      <c r="A113" s="478" t="s">
        <v>1814</v>
      </c>
      <c r="B113" s="478">
        <v>0.21</v>
      </c>
      <c r="C113" s="478">
        <v>1</v>
      </c>
      <c r="D113" s="478"/>
      <c r="E113" s="478" t="s">
        <v>16</v>
      </c>
      <c r="F113" s="383" t="s">
        <v>16</v>
      </c>
      <c r="G113" s="478" t="s">
        <v>108</v>
      </c>
      <c r="H113" s="582" t="s">
        <v>2153</v>
      </c>
      <c r="I113" s="583">
        <f>IF(H113="","",VLOOKUP(H113,Tabela1[],2,0))</f>
        <v>4</v>
      </c>
      <c r="J113" s="582" t="s">
        <v>1</v>
      </c>
    </row>
    <row r="114" spans="1:10" ht="15" customHeight="1">
      <c r="A114" s="478" t="s">
        <v>1816</v>
      </c>
      <c r="B114" s="478">
        <v>9.6000000000000002E-2</v>
      </c>
      <c r="C114" s="478">
        <v>1</v>
      </c>
      <c r="D114" s="478"/>
      <c r="E114" s="478" t="s">
        <v>16</v>
      </c>
      <c r="F114" s="383" t="s">
        <v>16</v>
      </c>
      <c r="G114" s="478" t="s">
        <v>108</v>
      </c>
      <c r="H114" s="582" t="s">
        <v>2153</v>
      </c>
      <c r="I114" s="583">
        <f>IF(H114="","",VLOOKUP(H114,Tabela1[],2,0))</f>
        <v>4</v>
      </c>
      <c r="J114" s="582" t="s">
        <v>1</v>
      </c>
    </row>
    <row r="115" spans="1:10" ht="15" customHeight="1">
      <c r="A115" s="478" t="s">
        <v>1815</v>
      </c>
      <c r="B115" s="478">
        <v>0.128</v>
      </c>
      <c r="C115" s="478">
        <v>1</v>
      </c>
      <c r="D115" s="478"/>
      <c r="E115" s="478" t="s">
        <v>16</v>
      </c>
      <c r="F115" s="383" t="s">
        <v>16</v>
      </c>
      <c r="G115" s="478" t="s">
        <v>108</v>
      </c>
      <c r="H115" s="582" t="s">
        <v>2153</v>
      </c>
      <c r="I115" s="583">
        <f>IF(H115="","",VLOOKUP(H115,Tabela1[],2,0))</f>
        <v>4</v>
      </c>
      <c r="J115" s="582" t="s">
        <v>1</v>
      </c>
    </row>
    <row r="116" spans="1:10" ht="15" customHeight="1">
      <c r="A116" s="478" t="s">
        <v>1817</v>
      </c>
      <c r="B116" s="478">
        <v>0.16</v>
      </c>
      <c r="C116" s="478">
        <v>1</v>
      </c>
      <c r="D116" s="478"/>
      <c r="E116" s="478" t="s">
        <v>16</v>
      </c>
      <c r="F116" s="383" t="s">
        <v>16</v>
      </c>
      <c r="G116" s="478" t="s">
        <v>108</v>
      </c>
      <c r="H116" s="582" t="s">
        <v>2153</v>
      </c>
      <c r="I116" s="583">
        <f>IF(H116="","",VLOOKUP(H116,Tabela1[],2,0))</f>
        <v>4</v>
      </c>
      <c r="J116" s="582" t="s">
        <v>1</v>
      </c>
    </row>
    <row r="117" spans="1:10" ht="15" customHeight="1">
      <c r="A117" s="478" t="s">
        <v>1818</v>
      </c>
      <c r="B117" s="478">
        <v>0.192</v>
      </c>
      <c r="C117" s="478">
        <v>1</v>
      </c>
      <c r="D117" s="478"/>
      <c r="E117" s="478" t="s">
        <v>16</v>
      </c>
      <c r="F117" s="383" t="s">
        <v>16</v>
      </c>
      <c r="G117" s="478" t="s">
        <v>108</v>
      </c>
      <c r="H117" s="582" t="s">
        <v>2153</v>
      </c>
      <c r="I117" s="583">
        <f>IF(H117="","",VLOOKUP(H117,Tabela1[],2,0))</f>
        <v>4</v>
      </c>
      <c r="J117" s="582" t="s">
        <v>1</v>
      </c>
    </row>
    <row r="118" spans="1:10" ht="15" customHeight="1">
      <c r="A118" s="478" t="s">
        <v>1819</v>
      </c>
      <c r="B118" s="478">
        <v>0.22</v>
      </c>
      <c r="C118" s="478">
        <v>1</v>
      </c>
      <c r="D118" s="478"/>
      <c r="E118" s="478" t="s">
        <v>16</v>
      </c>
      <c r="F118" s="383" t="s">
        <v>16</v>
      </c>
      <c r="G118" s="478" t="s">
        <v>108</v>
      </c>
      <c r="H118" s="582" t="s">
        <v>2153</v>
      </c>
      <c r="I118" s="583">
        <f>IF(H118="","",VLOOKUP(H118,Tabela1[],2,0))</f>
        <v>4</v>
      </c>
      <c r="J118" s="582" t="s">
        <v>1</v>
      </c>
    </row>
    <row r="119" spans="1:10" ht="15" customHeight="1">
      <c r="A119" s="478" t="s">
        <v>1820</v>
      </c>
      <c r="B119" s="478">
        <v>9.6000000000000002E-2</v>
      </c>
      <c r="C119" s="478">
        <v>1</v>
      </c>
      <c r="D119" s="478"/>
      <c r="E119" s="478" t="s">
        <v>16</v>
      </c>
      <c r="F119" s="383" t="s">
        <v>16</v>
      </c>
      <c r="G119" s="478" t="s">
        <v>108</v>
      </c>
      <c r="H119" s="582" t="s">
        <v>2153</v>
      </c>
      <c r="I119" s="583">
        <f>IF(H119="","",VLOOKUP(H119,Tabela1[],2,0))</f>
        <v>4</v>
      </c>
      <c r="J119" s="582" t="s">
        <v>2</v>
      </c>
    </row>
    <row r="120" spans="1:10" ht="15" customHeight="1">
      <c r="A120" s="478" t="s">
        <v>1821</v>
      </c>
      <c r="B120" s="478">
        <v>0.128</v>
      </c>
      <c r="C120" s="478">
        <v>1</v>
      </c>
      <c r="D120" s="478"/>
      <c r="E120" s="478" t="s">
        <v>16</v>
      </c>
      <c r="F120" s="383" t="s">
        <v>16</v>
      </c>
      <c r="G120" s="478" t="s">
        <v>108</v>
      </c>
      <c r="H120" s="582" t="s">
        <v>2153</v>
      </c>
      <c r="I120" s="583">
        <f>IF(H120="","",VLOOKUP(H120,Tabela1[],2,0))</f>
        <v>4</v>
      </c>
      <c r="J120" s="582" t="s">
        <v>2</v>
      </c>
    </row>
    <row r="121" spans="1:10" ht="15" customHeight="1">
      <c r="A121" s="478" t="s">
        <v>1822</v>
      </c>
      <c r="B121" s="478">
        <v>0.21</v>
      </c>
      <c r="C121" s="478">
        <v>1</v>
      </c>
      <c r="D121" s="478"/>
      <c r="E121" s="478" t="s">
        <v>16</v>
      </c>
      <c r="F121" s="383" t="s">
        <v>16</v>
      </c>
      <c r="G121" s="478" t="s">
        <v>108</v>
      </c>
      <c r="H121" s="582" t="s">
        <v>2153</v>
      </c>
      <c r="I121" s="583">
        <f>IF(H121="","",VLOOKUP(H121,Tabela1[],2,0))</f>
        <v>4</v>
      </c>
      <c r="J121" s="582" t="s">
        <v>1</v>
      </c>
    </row>
    <row r="122" spans="1:10" ht="15" customHeight="1">
      <c r="A122" s="478" t="s">
        <v>1823</v>
      </c>
      <c r="B122" s="478">
        <v>0.21</v>
      </c>
      <c r="C122" s="478">
        <v>1</v>
      </c>
      <c r="D122" s="478"/>
      <c r="E122" s="478" t="s">
        <v>16</v>
      </c>
      <c r="F122" s="383" t="s">
        <v>16</v>
      </c>
      <c r="G122" s="478" t="s">
        <v>108</v>
      </c>
      <c r="H122" s="582" t="s">
        <v>2153</v>
      </c>
      <c r="I122" s="583">
        <f>IF(H122="","",VLOOKUP(H122,Tabela1[],2,0))</f>
        <v>4</v>
      </c>
      <c r="J122" s="582" t="s">
        <v>1</v>
      </c>
    </row>
    <row r="123" spans="1:10" ht="15" customHeight="1">
      <c r="A123" s="479" t="s">
        <v>1766</v>
      </c>
      <c r="B123" s="479">
        <v>6.4000000000000001E-2</v>
      </c>
      <c r="C123" s="479">
        <v>1</v>
      </c>
      <c r="D123" s="479"/>
      <c r="E123" s="479" t="s">
        <v>16</v>
      </c>
      <c r="F123" s="480"/>
      <c r="G123" s="479" t="s">
        <v>108</v>
      </c>
      <c r="H123" s="584" t="s">
        <v>2153</v>
      </c>
      <c r="I123" s="585">
        <f>IF(H123="","",VLOOKUP(H123,Tabela1[],2,0))</f>
        <v>4</v>
      </c>
      <c r="J123" s="584" t="s">
        <v>1</v>
      </c>
    </row>
    <row r="124" spans="1:10" ht="15" customHeight="1">
      <c r="A124" s="479" t="s">
        <v>1767</v>
      </c>
      <c r="B124" s="479">
        <v>9.6000000000000002E-2</v>
      </c>
      <c r="C124" s="479">
        <v>1</v>
      </c>
      <c r="D124" s="479"/>
      <c r="E124" s="479" t="s">
        <v>16</v>
      </c>
      <c r="F124" s="480"/>
      <c r="G124" s="479" t="s">
        <v>108</v>
      </c>
      <c r="H124" s="584" t="s">
        <v>2153</v>
      </c>
      <c r="I124" s="585">
        <f>IF(H124="","",VLOOKUP(H124,Tabela1[],2,0))</f>
        <v>4</v>
      </c>
      <c r="J124" s="584" t="s">
        <v>1</v>
      </c>
    </row>
    <row r="125" spans="1:10" ht="15" customHeight="1">
      <c r="A125" s="479" t="s">
        <v>1768</v>
      </c>
      <c r="B125" s="479">
        <v>0.128</v>
      </c>
      <c r="C125" s="479">
        <v>1</v>
      </c>
      <c r="D125" s="479"/>
      <c r="E125" s="479" t="s">
        <v>16</v>
      </c>
      <c r="F125" s="480"/>
      <c r="G125" s="479" t="s">
        <v>108</v>
      </c>
      <c r="H125" s="584" t="s">
        <v>2153</v>
      </c>
      <c r="I125" s="585">
        <f>IF(H125="","",VLOOKUP(H125,Tabela1[],2,0))</f>
        <v>4</v>
      </c>
      <c r="J125" s="584" t="s">
        <v>1</v>
      </c>
    </row>
    <row r="126" spans="1:10" ht="15" customHeight="1">
      <c r="A126" s="479" t="s">
        <v>1769</v>
      </c>
      <c r="B126" s="479">
        <v>0.16</v>
      </c>
      <c r="C126" s="479">
        <v>1</v>
      </c>
      <c r="D126" s="479"/>
      <c r="E126" s="584" t="s">
        <v>16</v>
      </c>
      <c r="F126" s="480"/>
      <c r="G126" s="479" t="s">
        <v>108</v>
      </c>
      <c r="H126" s="584" t="s">
        <v>2153</v>
      </c>
      <c r="I126" s="585">
        <f>IF(H126="","",VLOOKUP(H126,Tabela1[],2,0))</f>
        <v>4</v>
      </c>
      <c r="J126" s="584" t="s">
        <v>1</v>
      </c>
    </row>
    <row r="127" spans="1:10" ht="15" customHeight="1">
      <c r="A127" s="479" t="s">
        <v>1770</v>
      </c>
      <c r="B127" s="479">
        <v>6.4000000000000001E-2</v>
      </c>
      <c r="C127" s="479">
        <v>1</v>
      </c>
      <c r="D127" s="479"/>
      <c r="E127" s="479" t="s">
        <v>16</v>
      </c>
      <c r="F127" s="480"/>
      <c r="G127" s="479" t="s">
        <v>108</v>
      </c>
      <c r="H127" s="584" t="s">
        <v>2153</v>
      </c>
      <c r="I127" s="585">
        <f>IF(H127="","",VLOOKUP(H127,Tabela1[],2,0))</f>
        <v>4</v>
      </c>
      <c r="J127" s="584" t="s">
        <v>1</v>
      </c>
    </row>
    <row r="128" spans="1:10" ht="15" customHeight="1">
      <c r="A128" s="479" t="s">
        <v>1771</v>
      </c>
      <c r="B128" s="479">
        <v>9.6000000000000002E-2</v>
      </c>
      <c r="C128" s="479">
        <v>1</v>
      </c>
      <c r="D128" s="479"/>
      <c r="E128" s="479" t="s">
        <v>16</v>
      </c>
      <c r="F128" s="480"/>
      <c r="G128" s="479" t="s">
        <v>108</v>
      </c>
      <c r="H128" s="584" t="s">
        <v>2153</v>
      </c>
      <c r="I128" s="585">
        <f>IF(H128="","",VLOOKUP(H128,Tabela1[],2,0))</f>
        <v>4</v>
      </c>
      <c r="J128" s="584" t="s">
        <v>1</v>
      </c>
    </row>
    <row r="129" spans="1:10" ht="15" customHeight="1">
      <c r="A129" s="479" t="s">
        <v>1772</v>
      </c>
      <c r="B129" s="479">
        <v>0.128</v>
      </c>
      <c r="C129" s="479">
        <v>1</v>
      </c>
      <c r="D129" s="479"/>
      <c r="E129" s="479" t="s">
        <v>16</v>
      </c>
      <c r="F129" s="480"/>
      <c r="G129" s="479" t="s">
        <v>108</v>
      </c>
      <c r="H129" s="584" t="s">
        <v>2153</v>
      </c>
      <c r="I129" s="585">
        <f>IF(H129="","",VLOOKUP(H129,Tabela1[],2,0))</f>
        <v>4</v>
      </c>
      <c r="J129" s="584" t="s">
        <v>1</v>
      </c>
    </row>
    <row r="130" spans="1:10" ht="15" customHeight="1">
      <c r="A130" s="479" t="s">
        <v>1773</v>
      </c>
      <c r="B130" s="479">
        <v>0.16</v>
      </c>
      <c r="C130" s="479">
        <v>1</v>
      </c>
      <c r="D130" s="479"/>
      <c r="E130" s="479" t="s">
        <v>16</v>
      </c>
      <c r="F130" s="480"/>
      <c r="G130" s="479" t="s">
        <v>108</v>
      </c>
      <c r="H130" s="584" t="s">
        <v>2153</v>
      </c>
      <c r="I130" s="585">
        <f>IF(H130="","",VLOOKUP(H130,Tabela1[],2,0))</f>
        <v>4</v>
      </c>
      <c r="J130" s="584" t="s">
        <v>1</v>
      </c>
    </row>
    <row r="131" spans="1:10" ht="15" customHeight="1">
      <c r="A131" s="479" t="s">
        <v>1774</v>
      </c>
      <c r="B131" s="479">
        <v>9.6000000000000002E-2</v>
      </c>
      <c r="C131" s="479">
        <v>1</v>
      </c>
      <c r="D131" s="479"/>
      <c r="E131" s="479" t="s">
        <v>16</v>
      </c>
      <c r="F131" s="480"/>
      <c r="G131" s="479" t="s">
        <v>108</v>
      </c>
      <c r="H131" s="584" t="s">
        <v>2153</v>
      </c>
      <c r="I131" s="585">
        <f>IF(H131="","",VLOOKUP(H131,Tabela1[],2,0))</f>
        <v>4</v>
      </c>
      <c r="J131" s="584" t="s">
        <v>1</v>
      </c>
    </row>
    <row r="132" spans="1:10" ht="15" customHeight="1">
      <c r="A132" s="479" t="s">
        <v>1775</v>
      </c>
      <c r="B132" s="479">
        <v>0.128</v>
      </c>
      <c r="C132" s="479">
        <v>1</v>
      </c>
      <c r="D132" s="479"/>
      <c r="E132" s="479" t="s">
        <v>16</v>
      </c>
      <c r="F132" s="480"/>
      <c r="G132" s="479" t="s">
        <v>108</v>
      </c>
      <c r="H132" s="584" t="s">
        <v>2153</v>
      </c>
      <c r="I132" s="585">
        <f>IF(H132="","",VLOOKUP(H132,Tabela1[],2,0))</f>
        <v>4</v>
      </c>
      <c r="J132" s="584" t="s">
        <v>1</v>
      </c>
    </row>
    <row r="133" spans="1:10" ht="15" customHeight="1">
      <c r="A133" s="479" t="s">
        <v>1776</v>
      </c>
      <c r="B133" s="479">
        <v>0.16</v>
      </c>
      <c r="C133" s="479">
        <v>1</v>
      </c>
      <c r="D133" s="479"/>
      <c r="E133" s="479" t="s">
        <v>16</v>
      </c>
      <c r="F133" s="480"/>
      <c r="G133" s="479" t="s">
        <v>108</v>
      </c>
      <c r="H133" s="584" t="s">
        <v>2153</v>
      </c>
      <c r="I133" s="585">
        <f>IF(H133="","",VLOOKUP(H133,Tabela1[],2,0))</f>
        <v>4</v>
      </c>
      <c r="J133" s="584" t="s">
        <v>1</v>
      </c>
    </row>
    <row r="134" spans="1:10" ht="15" customHeight="1">
      <c r="A134" s="479" t="s">
        <v>1774</v>
      </c>
      <c r="B134" s="479">
        <v>9.6000000000000002E-2</v>
      </c>
      <c r="C134" s="479">
        <v>1</v>
      </c>
      <c r="D134" s="479"/>
      <c r="E134" s="479" t="s">
        <v>16</v>
      </c>
      <c r="F134" s="480"/>
      <c r="G134" s="479" t="s">
        <v>108</v>
      </c>
      <c r="H134" s="584" t="s">
        <v>2153</v>
      </c>
      <c r="I134" s="585">
        <f>IF(H134="","",VLOOKUP(H134,Tabela1[],2,0))</f>
        <v>4</v>
      </c>
      <c r="J134" s="584" t="s">
        <v>1</v>
      </c>
    </row>
    <row r="135" spans="1:10" ht="15" customHeight="1">
      <c r="A135" s="479" t="s">
        <v>1777</v>
      </c>
      <c r="B135" s="479">
        <v>0.08</v>
      </c>
      <c r="C135" s="479">
        <v>1</v>
      </c>
      <c r="D135" s="479"/>
      <c r="E135" s="479" t="s">
        <v>16</v>
      </c>
      <c r="F135" s="480"/>
      <c r="G135" s="479" t="s">
        <v>108</v>
      </c>
      <c r="H135" s="584" t="s">
        <v>2153</v>
      </c>
      <c r="I135" s="585">
        <f>IF(H135="","",VLOOKUP(H135,Tabela1[],2,0))</f>
        <v>4</v>
      </c>
      <c r="J135" s="584" t="s">
        <v>1</v>
      </c>
    </row>
    <row r="136" spans="1:10" ht="15" customHeight="1">
      <c r="A136" s="479" t="s">
        <v>1778</v>
      </c>
      <c r="B136" s="479">
        <v>0.1</v>
      </c>
      <c r="C136" s="479">
        <v>1</v>
      </c>
      <c r="D136" s="479"/>
      <c r="E136" s="479" t="s">
        <v>16</v>
      </c>
      <c r="F136" s="480"/>
      <c r="G136" s="479" t="s">
        <v>108</v>
      </c>
      <c r="H136" s="584" t="s">
        <v>2153</v>
      </c>
      <c r="I136" s="585">
        <f>IF(H136="","",VLOOKUP(H136,Tabela1[],2,0))</f>
        <v>4</v>
      </c>
      <c r="J136" s="584" t="s">
        <v>1</v>
      </c>
    </row>
    <row r="137" spans="1:10" ht="15" customHeight="1">
      <c r="A137" s="479" t="s">
        <v>1779</v>
      </c>
      <c r="B137" s="479">
        <v>0.08</v>
      </c>
      <c r="C137" s="479">
        <v>1</v>
      </c>
      <c r="D137" s="479"/>
      <c r="E137" s="479" t="s">
        <v>16</v>
      </c>
      <c r="F137" s="480"/>
      <c r="G137" s="479" t="s">
        <v>108</v>
      </c>
      <c r="H137" s="584" t="s">
        <v>2153</v>
      </c>
      <c r="I137" s="585">
        <f>IF(H137="","",VLOOKUP(H137,Tabela1[],2,0))</f>
        <v>4</v>
      </c>
      <c r="J137" s="584" t="s">
        <v>1</v>
      </c>
    </row>
    <row r="138" spans="1:10" ht="15" customHeight="1">
      <c r="A138" s="481" t="s">
        <v>1780</v>
      </c>
      <c r="B138" s="482">
        <v>0.32</v>
      </c>
      <c r="C138" s="482">
        <v>1</v>
      </c>
      <c r="D138" s="482"/>
      <c r="E138" s="482" t="s">
        <v>16</v>
      </c>
      <c r="F138" s="363"/>
      <c r="G138" s="482" t="s">
        <v>108</v>
      </c>
      <c r="H138" s="587" t="s">
        <v>2152</v>
      </c>
      <c r="I138" s="586">
        <f>IF(H138="","",VLOOKUP(H138,Tabela1[],2,0))</f>
        <v>3</v>
      </c>
      <c r="J138" s="482" t="s">
        <v>1</v>
      </c>
    </row>
    <row r="139" spans="1:10" ht="15" customHeight="1">
      <c r="A139" s="481" t="s">
        <v>1781</v>
      </c>
      <c r="B139" s="482">
        <v>0.32</v>
      </c>
      <c r="C139" s="482">
        <v>1</v>
      </c>
      <c r="D139" s="482"/>
      <c r="E139" s="482" t="s">
        <v>16</v>
      </c>
      <c r="F139" s="586"/>
      <c r="G139" s="482" t="s">
        <v>108</v>
      </c>
      <c r="H139" s="587" t="s">
        <v>2152</v>
      </c>
      <c r="I139" s="586">
        <f>IF(H139="","",VLOOKUP(H139,Tabela1[],2,0))</f>
        <v>3</v>
      </c>
      <c r="J139" s="482" t="s">
        <v>1</v>
      </c>
    </row>
    <row r="140" spans="1:10" ht="15" customHeight="1">
      <c r="A140" s="482" t="s">
        <v>1782</v>
      </c>
      <c r="B140" s="482">
        <v>0.33300000000000002</v>
      </c>
      <c r="C140" s="482">
        <v>1</v>
      </c>
      <c r="D140" s="482"/>
      <c r="E140" s="482" t="s">
        <v>16</v>
      </c>
      <c r="F140" s="363"/>
      <c r="G140" s="482" t="s">
        <v>108</v>
      </c>
      <c r="H140" s="587" t="s">
        <v>2152</v>
      </c>
      <c r="I140" s="586">
        <f>IF(H140="","",VLOOKUP(H140,Tabela1[],2,0))</f>
        <v>3</v>
      </c>
      <c r="J140" s="482" t="s">
        <v>1</v>
      </c>
    </row>
    <row r="141" spans="1:10" ht="15" customHeight="1">
      <c r="A141" s="482" t="s">
        <v>1783</v>
      </c>
      <c r="B141" s="482">
        <v>0.30599999999999999</v>
      </c>
      <c r="C141" s="482">
        <v>1</v>
      </c>
      <c r="D141" s="482"/>
      <c r="E141" s="482" t="s">
        <v>16</v>
      </c>
      <c r="F141" s="363"/>
      <c r="G141" s="482" t="s">
        <v>108</v>
      </c>
      <c r="H141" s="587" t="s">
        <v>2152</v>
      </c>
      <c r="I141" s="586">
        <f>IF(H141="","",VLOOKUP(H141,Tabela1[],2,0))</f>
        <v>3</v>
      </c>
      <c r="J141" s="482" t="s">
        <v>1</v>
      </c>
    </row>
    <row r="142" spans="1:10" ht="15" customHeight="1">
      <c r="A142" s="482" t="s">
        <v>1785</v>
      </c>
      <c r="B142" s="482">
        <v>0.35</v>
      </c>
      <c r="C142" s="482">
        <v>1</v>
      </c>
      <c r="D142" s="482"/>
      <c r="E142" s="482" t="s">
        <v>16</v>
      </c>
      <c r="F142" s="363"/>
      <c r="G142" s="482" t="s">
        <v>108</v>
      </c>
      <c r="H142" s="587" t="s">
        <v>2152</v>
      </c>
      <c r="I142" s="586">
        <f>IF(H142="","",VLOOKUP(H142,Tabela1[],2,0))</f>
        <v>3</v>
      </c>
      <c r="J142" s="482" t="s">
        <v>1</v>
      </c>
    </row>
    <row r="143" spans="1:10" ht="15" customHeight="1">
      <c r="A143" s="482" t="s">
        <v>1784</v>
      </c>
      <c r="B143" s="482">
        <v>0.35</v>
      </c>
      <c r="C143" s="482">
        <v>1</v>
      </c>
      <c r="D143" s="482"/>
      <c r="E143" s="482" t="s">
        <v>16</v>
      </c>
      <c r="F143" s="363"/>
      <c r="G143" s="482" t="s">
        <v>108</v>
      </c>
      <c r="H143" s="587" t="s">
        <v>2152</v>
      </c>
      <c r="I143" s="586">
        <f>IF(H143="","",VLOOKUP(H143,Tabela1[],2,0))</f>
        <v>3</v>
      </c>
      <c r="J143" s="482" t="s">
        <v>1</v>
      </c>
    </row>
    <row r="144" spans="1:10" ht="15" customHeight="1">
      <c r="A144" s="483" t="s">
        <v>1786</v>
      </c>
      <c r="B144" s="484">
        <v>1</v>
      </c>
      <c r="C144" s="484">
        <v>1</v>
      </c>
      <c r="D144" s="484"/>
      <c r="E144" s="484" t="s">
        <v>16</v>
      </c>
      <c r="F144" s="364"/>
      <c r="G144" s="588" t="s">
        <v>108</v>
      </c>
      <c r="H144" s="588" t="s">
        <v>2153</v>
      </c>
      <c r="I144" s="589">
        <f>IF(H144="","",VLOOKUP(H144,Tabela1[],2,0))</f>
        <v>4</v>
      </c>
      <c r="J144" s="484" t="s">
        <v>1</v>
      </c>
    </row>
    <row r="145" spans="1:10" ht="15" customHeight="1">
      <c r="A145" s="484" t="s">
        <v>1787</v>
      </c>
      <c r="B145" s="484">
        <v>0.9</v>
      </c>
      <c r="C145" s="484">
        <v>1</v>
      </c>
      <c r="D145" s="484"/>
      <c r="E145" s="484" t="s">
        <v>16</v>
      </c>
      <c r="F145" s="364"/>
      <c r="G145" s="484" t="s">
        <v>108</v>
      </c>
      <c r="H145" s="588" t="s">
        <v>2153</v>
      </c>
      <c r="I145" s="589">
        <f>IF(H145="","",VLOOKUP(H145,Tabela1[],2,0))</f>
        <v>4</v>
      </c>
      <c r="J145" s="484" t="s">
        <v>1</v>
      </c>
    </row>
    <row r="146" spans="1:10" ht="15" customHeight="1">
      <c r="A146" s="484" t="s">
        <v>671</v>
      </c>
      <c r="B146" s="484">
        <v>0.435</v>
      </c>
      <c r="C146" s="484">
        <v>1</v>
      </c>
      <c r="D146" s="484"/>
      <c r="E146" s="484" t="s">
        <v>16</v>
      </c>
      <c r="F146" s="364"/>
      <c r="G146" s="484" t="s">
        <v>108</v>
      </c>
      <c r="H146" s="588" t="s">
        <v>2153</v>
      </c>
      <c r="I146" s="589">
        <f>IF(H146="","",VLOOKUP(H146,Tabela1[],2,0))</f>
        <v>4</v>
      </c>
      <c r="J146" s="484" t="s">
        <v>1</v>
      </c>
    </row>
    <row r="147" spans="1:10" ht="15" customHeight="1">
      <c r="A147" s="485" t="s">
        <v>1788</v>
      </c>
      <c r="B147" s="485">
        <v>9.6000000000000002E-2</v>
      </c>
      <c r="C147" s="485">
        <v>1</v>
      </c>
      <c r="D147" s="485"/>
      <c r="E147" s="485" t="s">
        <v>16</v>
      </c>
      <c r="F147" s="434"/>
      <c r="G147" s="485" t="s">
        <v>108</v>
      </c>
      <c r="H147" s="590" t="s">
        <v>2153</v>
      </c>
      <c r="I147" s="591">
        <f>IF(H147="","",VLOOKUP(H147,Tabela1[],2,0))</f>
        <v>4</v>
      </c>
      <c r="J147" s="485" t="s">
        <v>1</v>
      </c>
    </row>
    <row r="148" spans="1:10" ht="15" customHeight="1">
      <c r="A148" s="485" t="s">
        <v>1789</v>
      </c>
      <c r="B148" s="485">
        <v>0.128</v>
      </c>
      <c r="C148" s="485">
        <v>1</v>
      </c>
      <c r="D148" s="485"/>
      <c r="E148" s="485" t="s">
        <v>16</v>
      </c>
      <c r="F148" s="434"/>
      <c r="G148" s="485" t="s">
        <v>108</v>
      </c>
      <c r="H148" s="590" t="s">
        <v>2153</v>
      </c>
      <c r="I148" s="591">
        <f>IF(H148="","",VLOOKUP(H148,Tabela1[],2,0))</f>
        <v>4</v>
      </c>
      <c r="J148" s="485" t="s">
        <v>1</v>
      </c>
    </row>
    <row r="149" spans="1:10" ht="15" customHeight="1">
      <c r="A149" s="485" t="s">
        <v>1790</v>
      </c>
      <c r="B149" s="485">
        <v>0.16</v>
      </c>
      <c r="C149" s="485">
        <v>1</v>
      </c>
      <c r="D149" s="485"/>
      <c r="E149" s="485" t="s">
        <v>16</v>
      </c>
      <c r="F149" s="434"/>
      <c r="G149" s="485" t="s">
        <v>108</v>
      </c>
      <c r="H149" s="590" t="s">
        <v>2153</v>
      </c>
      <c r="I149" s="591">
        <f>IF(H149="","",VLOOKUP(H149,Tabela1[],2,0))</f>
        <v>4</v>
      </c>
      <c r="J149" s="485" t="s">
        <v>1</v>
      </c>
    </row>
    <row r="150" spans="1:10" ht="15" customHeight="1">
      <c r="A150" s="485" t="s">
        <v>1791</v>
      </c>
      <c r="B150" s="485">
        <v>0.192</v>
      </c>
      <c r="C150" s="485">
        <v>1</v>
      </c>
      <c r="D150" s="485"/>
      <c r="E150" s="485" t="s">
        <v>16</v>
      </c>
      <c r="F150" s="434"/>
      <c r="G150" s="485" t="s">
        <v>108</v>
      </c>
      <c r="H150" s="590" t="s">
        <v>2153</v>
      </c>
      <c r="I150" s="591">
        <f>IF(H150="","",VLOOKUP(H150,Tabela1[],2,0))</f>
        <v>4</v>
      </c>
      <c r="J150" s="485" t="s">
        <v>1</v>
      </c>
    </row>
    <row r="151" spans="1:10" ht="15" customHeight="1">
      <c r="A151" s="485" t="s">
        <v>1792</v>
      </c>
      <c r="B151" s="485">
        <v>0.28799999999999998</v>
      </c>
      <c r="C151" s="485">
        <v>1</v>
      </c>
      <c r="D151" s="485"/>
      <c r="E151" s="485" t="s">
        <v>16</v>
      </c>
      <c r="F151" s="434"/>
      <c r="G151" s="485" t="s">
        <v>108</v>
      </c>
      <c r="H151" s="590" t="s">
        <v>2153</v>
      </c>
      <c r="I151" s="591">
        <f>IF(H151="","",VLOOKUP(H151,Tabela1[],2,0))</f>
        <v>4</v>
      </c>
      <c r="J151" s="485" t="s">
        <v>1</v>
      </c>
    </row>
    <row r="152" spans="1:10" ht="15" customHeight="1">
      <c r="A152" s="485" t="s">
        <v>1793</v>
      </c>
      <c r="B152" s="485">
        <v>9.6000000000000002E-2</v>
      </c>
      <c r="C152" s="485">
        <v>1</v>
      </c>
      <c r="D152" s="485"/>
      <c r="E152" s="485" t="s">
        <v>16</v>
      </c>
      <c r="F152" s="434"/>
      <c r="G152" s="485" t="s">
        <v>108</v>
      </c>
      <c r="H152" s="590" t="s">
        <v>2153</v>
      </c>
      <c r="I152" s="591">
        <f>IF(H152="","",VLOOKUP(H152,Tabela1[],2,0))</f>
        <v>4</v>
      </c>
      <c r="J152" s="485" t="s">
        <v>1</v>
      </c>
    </row>
    <row r="153" spans="1:10" ht="15" customHeight="1">
      <c r="A153" s="485" t="s">
        <v>1794</v>
      </c>
      <c r="B153" s="485">
        <v>0.128</v>
      </c>
      <c r="C153" s="485">
        <v>1</v>
      </c>
      <c r="D153" s="485"/>
      <c r="E153" s="485" t="s">
        <v>16</v>
      </c>
      <c r="F153" s="434"/>
      <c r="G153" s="485" t="s">
        <v>108</v>
      </c>
      <c r="H153" s="590" t="s">
        <v>2153</v>
      </c>
      <c r="I153" s="591">
        <f>IF(H153="","",VLOOKUP(H153,Tabela1[],2,0))</f>
        <v>4</v>
      </c>
      <c r="J153" s="485" t="s">
        <v>1</v>
      </c>
    </row>
    <row r="154" spans="1:10" ht="15" customHeight="1">
      <c r="A154" s="485" t="s">
        <v>1795</v>
      </c>
      <c r="B154" s="485">
        <v>0.16</v>
      </c>
      <c r="C154" s="485">
        <v>1</v>
      </c>
      <c r="D154" s="485"/>
      <c r="E154" s="485" t="s">
        <v>16</v>
      </c>
      <c r="F154" s="434"/>
      <c r="G154" s="590" t="s">
        <v>108</v>
      </c>
      <c r="H154" s="590" t="s">
        <v>2153</v>
      </c>
      <c r="I154" s="591">
        <f>IF(H154="","",VLOOKUP(H154,Tabela1[],2,0))</f>
        <v>4</v>
      </c>
      <c r="J154" s="485" t="s">
        <v>1</v>
      </c>
    </row>
    <row r="155" spans="1:10" ht="15" customHeight="1">
      <c r="A155" s="485" t="s">
        <v>1796</v>
      </c>
      <c r="B155" s="485">
        <v>0.192</v>
      </c>
      <c r="C155" s="485">
        <v>1</v>
      </c>
      <c r="D155" s="485"/>
      <c r="E155" s="485" t="s">
        <v>16</v>
      </c>
      <c r="F155" s="434"/>
      <c r="G155" s="485" t="s">
        <v>108</v>
      </c>
      <c r="H155" s="590" t="s">
        <v>2153</v>
      </c>
      <c r="I155" s="591">
        <f>IF(H155="","",VLOOKUP(H155,Tabela1[],2,0))</f>
        <v>4</v>
      </c>
      <c r="J155" s="485" t="s">
        <v>1</v>
      </c>
    </row>
    <row r="156" spans="1:10" ht="15" customHeight="1">
      <c r="A156" s="485" t="s">
        <v>1797</v>
      </c>
      <c r="B156" s="485">
        <v>0.28799999999999998</v>
      </c>
      <c r="C156" s="485">
        <v>1</v>
      </c>
      <c r="D156" s="485"/>
      <c r="E156" s="485" t="s">
        <v>16</v>
      </c>
      <c r="F156" s="434"/>
      <c r="G156" s="485" t="s">
        <v>108</v>
      </c>
      <c r="H156" s="590" t="s">
        <v>2153</v>
      </c>
      <c r="I156" s="591">
        <f>IF(H156="","",VLOOKUP(H156,Tabela1[],2,0))</f>
        <v>4</v>
      </c>
      <c r="J156" s="485" t="s">
        <v>1</v>
      </c>
    </row>
    <row r="157" spans="1:10" ht="15" customHeight="1">
      <c r="A157" s="484" t="s">
        <v>1798</v>
      </c>
      <c r="B157" s="484">
        <v>0.25</v>
      </c>
      <c r="C157" s="484">
        <v>1</v>
      </c>
      <c r="D157" s="484"/>
      <c r="E157" s="484" t="s">
        <v>16</v>
      </c>
      <c r="F157" s="364"/>
      <c r="G157" s="484" t="s">
        <v>108</v>
      </c>
      <c r="H157" s="588" t="s">
        <v>2153</v>
      </c>
      <c r="I157" s="589">
        <f>IF(H157="","",VLOOKUP(H157,Tabela1[],2,0))</f>
        <v>4</v>
      </c>
      <c r="J157" s="588" t="s">
        <v>1</v>
      </c>
    </row>
    <row r="158" spans="1:10" ht="15" customHeight="1">
      <c r="A158" s="484" t="s">
        <v>1799</v>
      </c>
      <c r="B158" s="484">
        <v>0.25</v>
      </c>
      <c r="C158" s="484">
        <v>1</v>
      </c>
      <c r="D158" s="484"/>
      <c r="E158" s="484" t="s">
        <v>16</v>
      </c>
      <c r="F158" s="364"/>
      <c r="G158" s="484" t="s">
        <v>108</v>
      </c>
      <c r="H158" s="588" t="s">
        <v>2153</v>
      </c>
      <c r="I158" s="589">
        <f>IF(H158="","",VLOOKUP(H158,Tabela1[],2,0))</f>
        <v>4</v>
      </c>
      <c r="J158" s="588" t="s">
        <v>1</v>
      </c>
    </row>
    <row r="159" spans="1:10" ht="15" customHeight="1">
      <c r="A159" s="484" t="s">
        <v>1800</v>
      </c>
      <c r="B159" s="484">
        <v>0.16500000000000001</v>
      </c>
      <c r="C159" s="484">
        <v>1</v>
      </c>
      <c r="D159" s="484"/>
      <c r="E159" s="484" t="s">
        <v>16</v>
      </c>
      <c r="F159" s="364"/>
      <c r="G159" s="588" t="s">
        <v>108</v>
      </c>
      <c r="H159" s="588" t="s">
        <v>2153</v>
      </c>
      <c r="I159" s="589">
        <f>IF(H159="","",VLOOKUP(H159,Tabela1[],2,0))</f>
        <v>4</v>
      </c>
      <c r="J159" s="588" t="s">
        <v>1</v>
      </c>
    </row>
    <row r="160" spans="1:10" ht="15" customHeight="1">
      <c r="A160" s="484" t="s">
        <v>1801</v>
      </c>
      <c r="B160" s="484">
        <v>0.21</v>
      </c>
      <c r="C160" s="484">
        <v>1</v>
      </c>
      <c r="D160" s="484"/>
      <c r="E160" s="484" t="s">
        <v>16</v>
      </c>
      <c r="F160" s="364"/>
      <c r="G160" s="484" t="s">
        <v>108</v>
      </c>
      <c r="H160" s="588" t="s">
        <v>2153</v>
      </c>
      <c r="I160" s="589">
        <f>IF(H160="","",VLOOKUP(H160,Tabela1[],2,0))</f>
        <v>4</v>
      </c>
      <c r="J160" s="588" t="s">
        <v>1</v>
      </c>
    </row>
    <row r="161" spans="1:10" ht="15" customHeight="1">
      <c r="A161" s="486" t="s">
        <v>1802</v>
      </c>
      <c r="B161" s="486">
        <v>0.21</v>
      </c>
      <c r="C161" s="486">
        <v>1</v>
      </c>
      <c r="D161" s="486"/>
      <c r="E161" s="486" t="s">
        <v>16</v>
      </c>
      <c r="F161" s="436"/>
      <c r="G161" s="592" t="s">
        <v>108</v>
      </c>
      <c r="H161" s="592" t="s">
        <v>2153</v>
      </c>
      <c r="I161" s="593">
        <f>IF(H161="","",VLOOKUP(H161,Tabela1[],2,0))</f>
        <v>4</v>
      </c>
      <c r="J161" s="486" t="s">
        <v>1</v>
      </c>
    </row>
    <row r="162" spans="1:10" ht="15" customHeight="1">
      <c r="A162" s="486" t="s">
        <v>1803</v>
      </c>
      <c r="B162" s="486">
        <v>0.15</v>
      </c>
      <c r="C162" s="486">
        <v>1</v>
      </c>
      <c r="D162" s="486"/>
      <c r="E162" s="486" t="s">
        <v>16</v>
      </c>
      <c r="F162" s="436"/>
      <c r="G162" s="486" t="s">
        <v>108</v>
      </c>
      <c r="H162" s="592" t="s">
        <v>2153</v>
      </c>
      <c r="I162" s="593">
        <f>IF(H162="","",VLOOKUP(H162,Tabela1[],2,0))</f>
        <v>4</v>
      </c>
      <c r="J162" s="486" t="s">
        <v>1</v>
      </c>
    </row>
    <row r="163" spans="1:10" ht="15" customHeight="1">
      <c r="A163" s="486" t="s">
        <v>1804</v>
      </c>
      <c r="B163" s="486">
        <v>0.21</v>
      </c>
      <c r="C163" s="486">
        <v>1</v>
      </c>
      <c r="D163" s="486"/>
      <c r="E163" s="486" t="s">
        <v>16</v>
      </c>
      <c r="F163" s="436"/>
      <c r="G163" s="486" t="s">
        <v>108</v>
      </c>
      <c r="H163" s="592" t="s">
        <v>2153</v>
      </c>
      <c r="I163" s="593">
        <f>IF(H163="","",VLOOKUP(H163,Tabela1[],2,0))</f>
        <v>4</v>
      </c>
      <c r="J163" s="486" t="s">
        <v>1</v>
      </c>
    </row>
    <row r="164" spans="1:10" customFormat="1" ht="14.4">
      <c r="G164" s="118"/>
      <c r="H164" s="1"/>
      <c r="I164" s="118"/>
    </row>
    <row r="166" spans="1:10" s="115" customFormat="1" ht="25.8">
      <c r="A166" s="119" t="s">
        <v>1099</v>
      </c>
      <c r="B166" s="119"/>
      <c r="C166" s="119"/>
      <c r="D166" s="119"/>
      <c r="E166" s="119"/>
      <c r="F166" s="120"/>
      <c r="G166" s="119"/>
      <c r="H166" s="119"/>
      <c r="I166" s="120"/>
      <c r="J166" s="119"/>
    </row>
    <row r="167" spans="1:10" ht="15" customHeight="1">
      <c r="A167" s="67" t="s">
        <v>1103</v>
      </c>
      <c r="B167" s="67">
        <v>1</v>
      </c>
      <c r="C167" s="67">
        <v>25</v>
      </c>
      <c r="D167" s="67"/>
      <c r="E167" s="67" t="s">
        <v>1886</v>
      </c>
      <c r="F167" s="68" t="s">
        <v>16</v>
      </c>
      <c r="G167" s="67" t="s">
        <v>108</v>
      </c>
      <c r="H167" s="67" t="s">
        <v>2157</v>
      </c>
      <c r="I167" s="68">
        <f>IF(H167="","",VLOOKUP(H167,Tabela1[],2,0))</f>
        <v>8</v>
      </c>
      <c r="J167" s="67" t="s">
        <v>2</v>
      </c>
    </row>
    <row r="168" spans="1:10" ht="15" customHeight="1">
      <c r="A168" s="338" t="s">
        <v>1098</v>
      </c>
      <c r="B168" s="97">
        <v>1.3</v>
      </c>
      <c r="C168" s="97">
        <v>20</v>
      </c>
      <c r="D168" s="97"/>
      <c r="E168" s="338" t="s">
        <v>1101</v>
      </c>
      <c r="F168" s="98" t="s">
        <v>16</v>
      </c>
      <c r="G168" s="97"/>
      <c r="H168" s="67" t="s">
        <v>2157</v>
      </c>
      <c r="I168" s="68">
        <f>IF(H168="","",VLOOKUP(H168,Tabela1[],2,0))</f>
        <v>8</v>
      </c>
      <c r="J168" s="97" t="s">
        <v>2</v>
      </c>
    </row>
    <row r="169" spans="1:10" ht="15" customHeight="1">
      <c r="A169" s="339" t="s">
        <v>1100</v>
      </c>
      <c r="B169" s="67">
        <v>1.3</v>
      </c>
      <c r="C169" s="67">
        <v>20</v>
      </c>
      <c r="D169" s="67"/>
      <c r="E169" s="338" t="s">
        <v>1885</v>
      </c>
      <c r="F169" s="68" t="s">
        <v>16</v>
      </c>
      <c r="G169" s="67"/>
      <c r="H169" s="67" t="s">
        <v>2157</v>
      </c>
      <c r="I169" s="68">
        <f>IF(H169="","",VLOOKUP(H169,Tabela1[],2,0))</f>
        <v>8</v>
      </c>
      <c r="J169" s="67" t="s">
        <v>2</v>
      </c>
    </row>
    <row r="170" spans="1:10" ht="15" customHeight="1">
      <c r="A170" s="339" t="s">
        <v>1827</v>
      </c>
      <c r="B170" s="67">
        <v>1.53</v>
      </c>
      <c r="C170" s="67">
        <v>20</v>
      </c>
      <c r="D170" s="67"/>
      <c r="E170" s="67" t="s">
        <v>1887</v>
      </c>
      <c r="F170" s="68" t="s">
        <v>16</v>
      </c>
      <c r="G170" s="67"/>
      <c r="H170" s="67" t="s">
        <v>2157</v>
      </c>
      <c r="I170" s="68">
        <f>IF(H170="","",VLOOKUP(H170,Tabela1[],2,0))</f>
        <v>8</v>
      </c>
      <c r="J170" s="67" t="s">
        <v>2</v>
      </c>
    </row>
    <row r="171" spans="1:10" ht="15" customHeight="1">
      <c r="A171" s="496" t="s">
        <v>520</v>
      </c>
      <c r="B171" s="67">
        <v>1</v>
      </c>
      <c r="C171" s="67">
        <v>500</v>
      </c>
      <c r="D171" s="67"/>
      <c r="E171" s="67" t="s">
        <v>16</v>
      </c>
      <c r="F171" s="68" t="s">
        <v>16</v>
      </c>
      <c r="G171" s="67"/>
      <c r="H171" s="67" t="s">
        <v>2157</v>
      </c>
      <c r="I171" s="68">
        <f>IF(H171="","",VLOOKUP(H171,Tabela1[],2,0))</f>
        <v>8</v>
      </c>
      <c r="J171" s="67" t="s">
        <v>2</v>
      </c>
    </row>
    <row r="172" spans="1:10" ht="15" customHeight="1">
      <c r="A172" s="67" t="s">
        <v>105</v>
      </c>
      <c r="B172" s="67">
        <v>3</v>
      </c>
      <c r="C172" s="67">
        <v>1</v>
      </c>
      <c r="D172" s="67"/>
      <c r="E172" s="67" t="s">
        <v>76</v>
      </c>
      <c r="F172" s="68" t="s">
        <v>16</v>
      </c>
      <c r="G172" s="67">
        <v>23</v>
      </c>
      <c r="H172" s="67" t="s">
        <v>2157</v>
      </c>
      <c r="I172" s="68">
        <f>IF(H172="","",VLOOKUP(H172,Tabela1[],2,0))</f>
        <v>8</v>
      </c>
      <c r="J172" s="67" t="s">
        <v>2</v>
      </c>
    </row>
    <row r="173" spans="1:10" ht="15" customHeight="1">
      <c r="A173" s="67" t="s">
        <v>523</v>
      </c>
      <c r="B173" s="67">
        <v>1.5</v>
      </c>
      <c r="C173" s="67">
        <v>1</v>
      </c>
      <c r="D173" s="67"/>
      <c r="E173" s="67" t="s">
        <v>518</v>
      </c>
      <c r="F173" s="68" t="s">
        <v>16</v>
      </c>
      <c r="G173" s="67">
        <v>24</v>
      </c>
      <c r="H173" s="67" t="s">
        <v>2158</v>
      </c>
      <c r="I173" s="68">
        <f>IF(H173="","",VLOOKUP(H173,Tabela1[],2,0))</f>
        <v>9</v>
      </c>
      <c r="J173" s="67" t="s">
        <v>75</v>
      </c>
    </row>
    <row r="174" spans="1:10" ht="15" customHeight="1">
      <c r="A174" s="67" t="s">
        <v>519</v>
      </c>
      <c r="B174" s="67">
        <v>1</v>
      </c>
      <c r="C174" s="67">
        <v>1</v>
      </c>
      <c r="D174" s="67"/>
      <c r="E174" s="67" t="s">
        <v>16</v>
      </c>
      <c r="F174" s="68" t="s">
        <v>16</v>
      </c>
      <c r="G174" s="67" t="s">
        <v>108</v>
      </c>
      <c r="H174" s="67" t="s">
        <v>2158</v>
      </c>
      <c r="I174" s="68">
        <f>IF(H174="","",VLOOKUP(H174,Tabela1[],2,0))</f>
        <v>9</v>
      </c>
      <c r="J174" s="67" t="s">
        <v>1</v>
      </c>
    </row>
    <row r="175" spans="1:10" ht="15" customHeight="1">
      <c r="A175" s="67" t="s">
        <v>662</v>
      </c>
      <c r="B175" s="67">
        <v>0.625</v>
      </c>
      <c r="C175" s="67">
        <v>1</v>
      </c>
      <c r="D175" s="67"/>
      <c r="E175" s="67" t="s">
        <v>16</v>
      </c>
      <c r="F175" s="68" t="s">
        <v>16</v>
      </c>
      <c r="G175" s="67" t="s">
        <v>108</v>
      </c>
      <c r="H175" s="67" t="s">
        <v>2158</v>
      </c>
      <c r="I175" s="68">
        <f>IF(H175="","",VLOOKUP(H175,Tabela1[],2,0))</f>
        <v>9</v>
      </c>
      <c r="J175" s="67" t="s">
        <v>1</v>
      </c>
    </row>
  </sheetData>
  <autoFilter ref="A1:J99" xr:uid="{00000000-0009-0000-0000-000004000000}"/>
  <dataConsolidate/>
  <phoneticPr fontId="6" type="noConversion"/>
  <conditionalFormatting sqref="B69 B138:B145 B157:B163 B95:B97 B62:B67 B105:B126 B171:B175 B79:B93 B167:B169">
    <cfRule type="containsBlanks" dxfId="1484" priority="68" stopIfTrue="1">
      <formula>LEN(TRIM(B62))=0</formula>
    </cfRule>
  </conditionalFormatting>
  <conditionalFormatting sqref="B73">
    <cfRule type="containsBlanks" dxfId="1483" priority="43" stopIfTrue="1">
      <formula>LEN(TRIM(B73))=0</formula>
    </cfRule>
  </conditionalFormatting>
  <conditionalFormatting sqref="B72">
    <cfRule type="containsBlanks" dxfId="1482" priority="42" stopIfTrue="1">
      <formula>LEN(TRIM(B72))=0</formula>
    </cfRule>
  </conditionalFormatting>
  <conditionalFormatting sqref="B71">
    <cfRule type="containsBlanks" dxfId="1481" priority="41" stopIfTrue="1">
      <formula>LEN(TRIM(B71))=0</formula>
    </cfRule>
  </conditionalFormatting>
  <conditionalFormatting sqref="B70">
    <cfRule type="containsBlanks" dxfId="1480" priority="40" stopIfTrue="1">
      <formula>LEN(TRIM(B70))=0</formula>
    </cfRule>
  </conditionalFormatting>
  <conditionalFormatting sqref="B68">
    <cfRule type="containsBlanks" dxfId="1479" priority="37" stopIfTrue="1">
      <formula>LEN(TRIM(B68))=0</formula>
    </cfRule>
  </conditionalFormatting>
  <conditionalFormatting sqref="B134">
    <cfRule type="containsBlanks" dxfId="1478" priority="34" stopIfTrue="1">
      <formula>LEN(TRIM(B134))=0</formula>
    </cfRule>
  </conditionalFormatting>
  <conditionalFormatting sqref="B135 B150:B151 B157:B163 B137:B146">
    <cfRule type="containsBlanks" dxfId="1477" priority="33" stopIfTrue="1">
      <formula>LEN(TRIM(B135))=0</formula>
    </cfRule>
  </conditionalFormatting>
  <conditionalFormatting sqref="B136">
    <cfRule type="containsBlanks" dxfId="1476" priority="32" stopIfTrue="1">
      <formula>LEN(TRIM(B136))=0</formula>
    </cfRule>
  </conditionalFormatting>
  <conditionalFormatting sqref="B150">
    <cfRule type="containsBlanks" dxfId="1475" priority="29" stopIfTrue="1">
      <formula>LEN(TRIM(B150))=0</formula>
    </cfRule>
  </conditionalFormatting>
  <conditionalFormatting sqref="B151">
    <cfRule type="containsBlanks" dxfId="1474" priority="28" stopIfTrue="1">
      <formula>LEN(TRIM(B151))=0</formula>
    </cfRule>
  </conditionalFormatting>
  <conditionalFormatting sqref="B94">
    <cfRule type="containsBlanks" dxfId="1473" priority="22" stopIfTrue="1">
      <formula>LEN(TRIM(B94))=0</formula>
    </cfRule>
  </conditionalFormatting>
  <conditionalFormatting sqref="B127:B130">
    <cfRule type="containsBlanks" dxfId="1472" priority="21" stopIfTrue="1">
      <formula>LEN(TRIM(B127))=0</formula>
    </cfRule>
  </conditionalFormatting>
  <conditionalFormatting sqref="B131:B133">
    <cfRule type="containsBlanks" dxfId="1471" priority="20" stopIfTrue="1">
      <formula>LEN(TRIM(B131))=0</formula>
    </cfRule>
  </conditionalFormatting>
  <conditionalFormatting sqref="B147:B149">
    <cfRule type="containsBlanks" dxfId="1470" priority="19" stopIfTrue="1">
      <formula>LEN(TRIM(B147))=0</formula>
    </cfRule>
  </conditionalFormatting>
  <conditionalFormatting sqref="B155:B156">
    <cfRule type="containsBlanks" dxfId="1469" priority="18" stopIfTrue="1">
      <formula>LEN(TRIM(B155))=0</formula>
    </cfRule>
  </conditionalFormatting>
  <conditionalFormatting sqref="B155">
    <cfRule type="containsBlanks" dxfId="1468" priority="17" stopIfTrue="1">
      <formula>LEN(TRIM(B155))=0</formula>
    </cfRule>
  </conditionalFormatting>
  <conditionalFormatting sqref="B156">
    <cfRule type="containsBlanks" dxfId="1467" priority="16" stopIfTrue="1">
      <formula>LEN(TRIM(B156))=0</formula>
    </cfRule>
  </conditionalFormatting>
  <conditionalFormatting sqref="B152:B154">
    <cfRule type="containsBlanks" dxfId="1466" priority="15" stopIfTrue="1">
      <formula>LEN(TRIM(B152))=0</formula>
    </cfRule>
  </conditionalFormatting>
  <conditionalFormatting sqref="B146">
    <cfRule type="containsBlanks" dxfId="1465" priority="14" stopIfTrue="1">
      <formula>LEN(TRIM(B146))=0</formula>
    </cfRule>
  </conditionalFormatting>
  <conditionalFormatting sqref="B170">
    <cfRule type="containsBlanks" dxfId="1464" priority="13" stopIfTrue="1">
      <formula>LEN(TRIM(B170))=0</formula>
    </cfRule>
  </conditionalFormatting>
  <conditionalFormatting sqref="B74">
    <cfRule type="containsBlanks" dxfId="1463" priority="12" stopIfTrue="1">
      <formula>LEN(TRIM(B74))=0</formula>
    </cfRule>
  </conditionalFormatting>
  <conditionalFormatting sqref="B75">
    <cfRule type="containsBlanks" dxfId="1462" priority="11" stopIfTrue="1">
      <formula>LEN(TRIM(B75))=0</formula>
    </cfRule>
  </conditionalFormatting>
  <conditionalFormatting sqref="H79:H101 H3:H12 H167:H175">
    <cfRule type="expression" dxfId="1461" priority="9">
      <formula>H3=""</formula>
    </cfRule>
  </conditionalFormatting>
  <conditionalFormatting sqref="H29:H37">
    <cfRule type="expression" dxfId="1460" priority="8">
      <formula>H29=""</formula>
    </cfRule>
  </conditionalFormatting>
  <conditionalFormatting sqref="H53:H58">
    <cfRule type="expression" dxfId="1459" priority="7">
      <formula>H53=""</formula>
    </cfRule>
  </conditionalFormatting>
  <conditionalFormatting sqref="H62:H75">
    <cfRule type="expression" dxfId="1458" priority="6">
      <formula>H62=""</formula>
    </cfRule>
  </conditionalFormatting>
  <conditionalFormatting sqref="H105:H163">
    <cfRule type="expression" dxfId="1457" priority="4">
      <formula>H105=""</formula>
    </cfRule>
  </conditionalFormatting>
  <conditionalFormatting sqref="H16:H25">
    <cfRule type="expression" dxfId="1456" priority="2">
      <formula>H16=""</formula>
    </cfRule>
  </conditionalFormatting>
  <conditionalFormatting sqref="H41:H49">
    <cfRule type="expression" dxfId="1455" priority="1">
      <formula>H41=""</formula>
    </cfRule>
  </conditionalFormatting>
  <dataValidations count="1">
    <dataValidation type="list" allowBlank="1" showInputMessage="1" showErrorMessage="1" sqref="H41:H49 H16:H25 H105:H163 H62:H75 H53:H58 H79:H101 H3:H12 H29:H37 H167:H175" xr:uid="{3A1228F8-E503-4203-9868-5829AF8BB2DC}">
      <formula1>Classif_Descr</formula1>
    </dataValidation>
  </dataValidations>
  <pageMargins left="0.78740157499999996" right="0.78740157499999996" top="0.984251969" bottom="0.984251969" header="0.49212598499999999" footer="0.49212598499999999"/>
  <pageSetup paperSize="9" orientation="portrait" r:id="rId1"/>
  <headerFooter alignWithMargins="0">
    <oddFooter>&amp;L
&amp;K808080&amp;"Trebuchet MS"CLASSIFICAÇÃO DO DOCUMENTO: INTERNO</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4"/>
  <dimension ref="A1:XEZ1899"/>
  <sheetViews>
    <sheetView zoomScale="70" zoomScaleNormal="70" workbookViewId="0">
      <pane xSplit="6" ySplit="2" topLeftCell="G3" activePane="bottomRight" state="frozen"/>
      <selection pane="topRight" activeCell="G1" sqref="G1"/>
      <selection pane="bottomLeft" activeCell="A3" sqref="A3"/>
      <selection pane="bottomRight" activeCell="E598" sqref="E598:F598"/>
    </sheetView>
  </sheetViews>
  <sheetFormatPr defaultColWidth="9.33203125" defaultRowHeight="13.2"/>
  <cols>
    <col min="1" max="1" width="28.6640625" style="3" customWidth="1"/>
    <col min="2" max="2" width="30" style="2" bestFit="1" customWidth="1"/>
    <col min="3" max="3" width="13" style="2" customWidth="1"/>
    <col min="4" max="4" width="11" style="2" customWidth="1"/>
    <col min="5" max="5" width="10.33203125" style="2" customWidth="1"/>
    <col min="6" max="6" width="9.33203125" style="2" customWidth="1"/>
    <col min="7" max="7" width="21.33203125" style="17" bestFit="1" customWidth="1"/>
    <col min="8" max="8" width="10.6640625" style="3" bestFit="1" customWidth="1"/>
    <col min="9" max="9" width="13.33203125" style="3" bestFit="1" customWidth="1"/>
    <col min="10" max="10" width="8.5546875" style="3" bestFit="1" customWidth="1"/>
    <col min="11" max="11" width="10.6640625" style="3" customWidth="1"/>
    <col min="12" max="12" width="9.33203125" style="3" bestFit="1"/>
    <col min="13" max="13" width="11.44140625" style="3" customWidth="1"/>
    <col min="14" max="14" width="11.5546875" style="3" customWidth="1"/>
    <col min="15" max="15" width="10.5546875" style="3" customWidth="1"/>
    <col min="16" max="16" width="4" style="3" bestFit="1" customWidth="1"/>
    <col min="17" max="17" width="9.33203125" style="16" bestFit="1"/>
    <col min="18" max="18" width="12.6640625" style="2" customWidth="1"/>
    <col min="19" max="19" width="12.33203125" style="3" customWidth="1"/>
    <col min="20" max="21" width="17.33203125" style="3" customWidth="1"/>
    <col min="22" max="22" width="23.6640625" style="3" customWidth="1"/>
    <col min="23" max="16384" width="9.33203125" style="3"/>
  </cols>
  <sheetData>
    <row r="1" spans="1:22">
      <c r="Q1" s="17"/>
    </row>
    <row r="2" spans="1:22" ht="13.8" thickBot="1">
      <c r="A2" s="14" t="s">
        <v>3</v>
      </c>
      <c r="B2" s="14" t="s">
        <v>5</v>
      </c>
      <c r="C2" s="14" t="s">
        <v>4</v>
      </c>
      <c r="D2" s="14" t="s">
        <v>6</v>
      </c>
      <c r="E2" s="14" t="s">
        <v>8</v>
      </c>
      <c r="F2" s="14" t="s">
        <v>9</v>
      </c>
      <c r="G2" s="100" t="s">
        <v>10</v>
      </c>
      <c r="H2" s="13" t="s">
        <v>11</v>
      </c>
      <c r="I2" s="13" t="s">
        <v>12</v>
      </c>
      <c r="J2" s="13" t="s">
        <v>13</v>
      </c>
      <c r="K2" s="13" t="s">
        <v>103</v>
      </c>
      <c r="L2" s="19"/>
      <c r="M2" s="19"/>
      <c r="N2" s="19"/>
      <c r="O2" s="19"/>
      <c r="P2" s="19"/>
      <c r="Q2" s="13" t="s">
        <v>111</v>
      </c>
      <c r="R2" s="14" t="s">
        <v>59</v>
      </c>
      <c r="S2" s="14" t="s">
        <v>60</v>
      </c>
      <c r="T2" s="14" t="s">
        <v>61</v>
      </c>
      <c r="U2" s="14" t="s">
        <v>64</v>
      </c>
      <c r="V2" s="14" t="s">
        <v>63</v>
      </c>
    </row>
    <row r="3" spans="1:22" s="63" customFormat="1" ht="27" customHeight="1" thickBot="1">
      <c r="A3" s="64" t="s">
        <v>599</v>
      </c>
      <c r="B3" s="65"/>
      <c r="C3" s="65"/>
      <c r="D3" s="65"/>
      <c r="E3" s="65"/>
      <c r="F3" s="65"/>
      <c r="G3" s="101"/>
      <c r="H3" s="65"/>
      <c r="I3" s="65"/>
      <c r="J3" s="66"/>
      <c r="K3" s="764" t="s">
        <v>120</v>
      </c>
      <c r="L3" s="60"/>
      <c r="M3" s="60"/>
      <c r="N3" s="60"/>
      <c r="O3" s="60"/>
      <c r="P3" s="60"/>
      <c r="Q3" s="61"/>
      <c r="R3" s="62"/>
      <c r="S3" s="60"/>
      <c r="T3" s="60"/>
      <c r="U3" s="62"/>
      <c r="V3" s="60"/>
    </row>
    <row r="4" spans="1:22" s="294" customFormat="1">
      <c r="A4" s="542" t="s">
        <v>2038</v>
      </c>
      <c r="B4" s="2" t="s">
        <v>2165</v>
      </c>
      <c r="C4" s="2">
        <v>172</v>
      </c>
      <c r="D4" s="2">
        <v>114</v>
      </c>
      <c r="E4" s="2">
        <v>64</v>
      </c>
      <c r="F4" s="2">
        <f>E4</f>
        <v>64</v>
      </c>
      <c r="G4" s="21">
        <f>IF(B4="","",AVERAGE(E4:F4)*D4*C4/10^6)</f>
        <v>1.254912</v>
      </c>
      <c r="H4" s="20">
        <f t="shared" ref="H4:H10" si="0">ROUND(C4 *D4*E4/10^6,3)</f>
        <v>1.2549999999999999</v>
      </c>
      <c r="I4" s="20">
        <f t="shared" ref="I4:I10" si="1">IF(F4="","-",ROUND((E4+F4)*C4 /2*D4/10^6,3))</f>
        <v>1.2549999999999999</v>
      </c>
      <c r="J4" s="75">
        <f t="shared" ref="J4:J10" si="2">IF(F4="","-",ROUND((D4+E4)*C4 /2*F4/10^6,3))</f>
        <v>0.98</v>
      </c>
      <c r="K4" s="765"/>
      <c r="L4" s="20"/>
      <c r="M4" s="20"/>
      <c r="N4" s="20"/>
      <c r="O4" s="20"/>
      <c r="P4" s="20"/>
      <c r="Q4" s="21"/>
      <c r="R4" s="22">
        <f t="shared" ref="R4:R64" si="3">D4</f>
        <v>114</v>
      </c>
      <c r="S4" s="20">
        <v>1</v>
      </c>
      <c r="T4" s="20"/>
      <c r="U4" s="22"/>
      <c r="V4" s="20" t="str">
        <f t="shared" ref="V4:V10" si="4">B4&amp;"-"&amp;C4 &amp;"x"&amp;D4&amp;"x"&amp;E4</f>
        <v>S-172x114x64</v>
      </c>
    </row>
    <row r="5" spans="1:22" s="294" customFormat="1">
      <c r="A5" s="542" t="s">
        <v>2039</v>
      </c>
      <c r="B5" s="2" t="s">
        <v>2165</v>
      </c>
      <c r="C5" s="2">
        <v>172</v>
      </c>
      <c r="D5" s="2">
        <v>114</v>
      </c>
      <c r="E5" s="2">
        <v>76</v>
      </c>
      <c r="F5" s="2">
        <f t="shared" ref="F5:F64" si="5">E5</f>
        <v>76</v>
      </c>
      <c r="G5" s="21">
        <f t="shared" ref="G5:G69" si="6">IF(B5="","",AVERAGE(E5:F5)*D5*C5/10^6)</f>
        <v>1.490208</v>
      </c>
      <c r="H5" s="20">
        <f t="shared" si="0"/>
        <v>1.49</v>
      </c>
      <c r="I5" s="20">
        <f t="shared" si="1"/>
        <v>1.49</v>
      </c>
      <c r="J5" s="75">
        <f t="shared" si="2"/>
        <v>1.242</v>
      </c>
      <c r="K5" s="765"/>
      <c r="L5" s="20"/>
      <c r="M5" s="20"/>
      <c r="N5" s="20"/>
      <c r="O5" s="20"/>
      <c r="P5" s="20"/>
      <c r="Q5" s="21"/>
      <c r="R5" s="22">
        <f t="shared" si="3"/>
        <v>114</v>
      </c>
      <c r="S5" s="20">
        <v>1</v>
      </c>
      <c r="T5" s="20"/>
      <c r="U5" s="22"/>
      <c r="V5" s="20" t="str">
        <f t="shared" si="4"/>
        <v>S-172x114x76</v>
      </c>
    </row>
    <row r="6" spans="1:22" s="294" customFormat="1">
      <c r="A6" s="542" t="s">
        <v>2040</v>
      </c>
      <c r="B6" s="2" t="s">
        <v>2165</v>
      </c>
      <c r="C6" s="2">
        <v>187</v>
      </c>
      <c r="D6" s="2">
        <v>124</v>
      </c>
      <c r="E6" s="2">
        <v>64</v>
      </c>
      <c r="F6" s="2">
        <f t="shared" si="5"/>
        <v>64</v>
      </c>
      <c r="G6" s="21">
        <f t="shared" si="6"/>
        <v>1.484032</v>
      </c>
      <c r="H6" s="20">
        <f t="shared" si="0"/>
        <v>1.484</v>
      </c>
      <c r="I6" s="20">
        <f t="shared" si="1"/>
        <v>1.484</v>
      </c>
      <c r="J6" s="75">
        <f t="shared" si="2"/>
        <v>1.125</v>
      </c>
      <c r="K6" s="765"/>
      <c r="L6" s="20"/>
      <c r="M6" s="20"/>
      <c r="N6" s="20"/>
      <c r="O6" s="20"/>
      <c r="P6" s="20"/>
      <c r="Q6" s="21"/>
      <c r="R6" s="22">
        <f t="shared" si="3"/>
        <v>124</v>
      </c>
      <c r="S6" s="20">
        <v>1</v>
      </c>
      <c r="T6" s="20"/>
      <c r="U6" s="22"/>
      <c r="V6" s="20" t="str">
        <f t="shared" si="4"/>
        <v>S-187x124x64</v>
      </c>
    </row>
    <row r="7" spans="1:22" s="294" customFormat="1">
      <c r="A7" s="542" t="s">
        <v>2041</v>
      </c>
      <c r="B7" s="2" t="s">
        <v>2165</v>
      </c>
      <c r="C7" s="2">
        <v>187</v>
      </c>
      <c r="D7" s="2">
        <v>124</v>
      </c>
      <c r="E7" s="2">
        <v>76</v>
      </c>
      <c r="F7" s="2">
        <f t="shared" si="5"/>
        <v>76</v>
      </c>
      <c r="G7" s="21">
        <f t="shared" si="6"/>
        <v>1.7622880000000001</v>
      </c>
      <c r="H7" s="20">
        <f t="shared" si="0"/>
        <v>1.762</v>
      </c>
      <c r="I7" s="20">
        <f t="shared" si="1"/>
        <v>1.762</v>
      </c>
      <c r="J7" s="75">
        <f t="shared" si="2"/>
        <v>1.421</v>
      </c>
      <c r="K7" s="765"/>
      <c r="L7" s="20"/>
      <c r="M7" s="20"/>
      <c r="N7" s="20"/>
      <c r="O7" s="20"/>
      <c r="P7" s="20"/>
      <c r="Q7" s="21"/>
      <c r="R7" s="22">
        <f t="shared" si="3"/>
        <v>124</v>
      </c>
      <c r="S7" s="20">
        <v>1</v>
      </c>
      <c r="T7" s="20"/>
      <c r="U7" s="22"/>
      <c r="V7" s="20" t="str">
        <f t="shared" si="4"/>
        <v>S-187x124x76</v>
      </c>
    </row>
    <row r="8" spans="1:22" s="294" customFormat="1">
      <c r="A8" s="542" t="s">
        <v>2042</v>
      </c>
      <c r="B8" s="2" t="s">
        <v>2165</v>
      </c>
      <c r="C8" s="2">
        <v>225</v>
      </c>
      <c r="D8" s="2">
        <v>150</v>
      </c>
      <c r="E8" s="2">
        <v>64</v>
      </c>
      <c r="F8" s="2">
        <f t="shared" si="5"/>
        <v>64</v>
      </c>
      <c r="G8" s="21">
        <f t="shared" si="6"/>
        <v>2.16</v>
      </c>
      <c r="H8" s="20">
        <f t="shared" si="0"/>
        <v>2.16</v>
      </c>
      <c r="I8" s="20">
        <f t="shared" si="1"/>
        <v>2.16</v>
      </c>
      <c r="J8" s="75">
        <f t="shared" si="2"/>
        <v>1.5409999999999999</v>
      </c>
      <c r="K8" s="765"/>
      <c r="L8" s="20"/>
      <c r="M8" s="20"/>
      <c r="N8" s="20"/>
      <c r="O8" s="20"/>
      <c r="P8" s="20"/>
      <c r="Q8" s="21"/>
      <c r="R8" s="22">
        <f t="shared" si="3"/>
        <v>150</v>
      </c>
      <c r="S8" s="20">
        <v>1</v>
      </c>
      <c r="T8" s="20"/>
      <c r="U8" s="22"/>
      <c r="V8" s="20" t="str">
        <f t="shared" si="4"/>
        <v>S-225x150x64</v>
      </c>
    </row>
    <row r="9" spans="1:22" s="294" customFormat="1">
      <c r="A9" s="542" t="s">
        <v>2043</v>
      </c>
      <c r="B9" s="2" t="s">
        <v>2165</v>
      </c>
      <c r="C9" s="2">
        <v>225</v>
      </c>
      <c r="D9" s="2">
        <v>150</v>
      </c>
      <c r="E9" s="2">
        <v>76</v>
      </c>
      <c r="F9" s="2">
        <f t="shared" si="5"/>
        <v>76</v>
      </c>
      <c r="G9" s="21">
        <f t="shared" si="6"/>
        <v>2.5649999999999999</v>
      </c>
      <c r="H9" s="20">
        <f t="shared" si="0"/>
        <v>2.5649999999999999</v>
      </c>
      <c r="I9" s="20">
        <f t="shared" si="1"/>
        <v>2.5649999999999999</v>
      </c>
      <c r="J9" s="75">
        <f t="shared" si="2"/>
        <v>1.9319999999999999</v>
      </c>
      <c r="K9" s="765"/>
      <c r="L9" s="20"/>
      <c r="M9" s="20"/>
      <c r="N9" s="20"/>
      <c r="O9" s="20"/>
      <c r="P9" s="20"/>
      <c r="Q9" s="21"/>
      <c r="R9" s="22">
        <f t="shared" si="3"/>
        <v>150</v>
      </c>
      <c r="S9" s="20">
        <v>1</v>
      </c>
      <c r="T9" s="20"/>
      <c r="U9" s="22"/>
      <c r="V9" s="20" t="str">
        <f t="shared" si="4"/>
        <v>S-225x150x76</v>
      </c>
    </row>
    <row r="10" spans="1:22" s="294" customFormat="1">
      <c r="A10" s="542">
        <v>1</v>
      </c>
      <c r="B10" s="2" t="s">
        <v>2165</v>
      </c>
      <c r="C10" s="2">
        <v>230</v>
      </c>
      <c r="D10" s="2">
        <v>114</v>
      </c>
      <c r="E10" s="2">
        <v>64</v>
      </c>
      <c r="F10" s="2">
        <f t="shared" si="5"/>
        <v>64</v>
      </c>
      <c r="G10" s="21">
        <f t="shared" si="6"/>
        <v>1.67808</v>
      </c>
      <c r="H10" s="20">
        <f t="shared" si="0"/>
        <v>1.6779999999999999</v>
      </c>
      <c r="I10" s="20">
        <f t="shared" si="1"/>
        <v>1.6779999999999999</v>
      </c>
      <c r="J10" s="75">
        <f t="shared" si="2"/>
        <v>1.31</v>
      </c>
      <c r="K10" s="765"/>
      <c r="L10" s="20"/>
      <c r="M10" s="20"/>
      <c r="N10" s="20"/>
      <c r="O10" s="20"/>
      <c r="P10" s="20"/>
      <c r="Q10" s="21"/>
      <c r="R10" s="22">
        <f t="shared" si="3"/>
        <v>114</v>
      </c>
      <c r="S10" s="20">
        <v>1</v>
      </c>
      <c r="T10" s="20"/>
      <c r="U10" s="22"/>
      <c r="V10" s="20" t="str">
        <f t="shared" si="4"/>
        <v>S-230x114x64</v>
      </c>
    </row>
    <row r="11" spans="1:22" s="294" customFormat="1">
      <c r="A11" s="542" t="s">
        <v>527</v>
      </c>
      <c r="B11" s="2" t="s">
        <v>2165</v>
      </c>
      <c r="C11" s="2">
        <v>230</v>
      </c>
      <c r="D11" s="2">
        <v>114</v>
      </c>
      <c r="E11" s="2">
        <v>25</v>
      </c>
      <c r="F11" s="2">
        <f t="shared" si="5"/>
        <v>25</v>
      </c>
      <c r="G11" s="21">
        <f t="shared" si="6"/>
        <v>0.65549999999999997</v>
      </c>
      <c r="H11" s="20">
        <f t="shared" ref="H11:H64" si="7">ROUND(C11*D11*E11/10^6,3)</f>
        <v>0.65600000000000003</v>
      </c>
      <c r="I11" s="20">
        <f t="shared" ref="I11:I64" si="8">IF(F11="","-",ROUND((E11+F11)*C11/2*D11/10^6,3))</f>
        <v>0.65600000000000003</v>
      </c>
      <c r="J11" s="75">
        <f t="shared" ref="J11:J64" si="9">IF(F11="","-",ROUND((D11+E11)*C11/2*F11/10^6,3))</f>
        <v>0.4</v>
      </c>
      <c r="K11" s="765"/>
      <c r="L11" s="20"/>
      <c r="M11" s="20"/>
      <c r="N11" s="20"/>
      <c r="O11" s="20"/>
      <c r="P11" s="20"/>
      <c r="Q11" s="21"/>
      <c r="R11" s="22">
        <f t="shared" si="3"/>
        <v>114</v>
      </c>
      <c r="S11" s="20">
        <v>1</v>
      </c>
      <c r="T11" s="20"/>
      <c r="U11" s="22"/>
      <c r="V11" s="20" t="str">
        <f t="shared" ref="V11:V64" si="10">B11&amp;"-"&amp;C11&amp;"x"&amp;D11&amp;"x"&amp;E11</f>
        <v>S-230x114x25</v>
      </c>
    </row>
    <row r="12" spans="1:22" s="294" customFormat="1">
      <c r="A12" s="542" t="s">
        <v>485</v>
      </c>
      <c r="B12" s="2" t="s">
        <v>2165</v>
      </c>
      <c r="C12" s="2">
        <v>230</v>
      </c>
      <c r="D12" s="2">
        <v>114</v>
      </c>
      <c r="E12" s="2">
        <v>32</v>
      </c>
      <c r="F12" s="2">
        <f t="shared" si="5"/>
        <v>32</v>
      </c>
      <c r="G12" s="21">
        <f t="shared" si="6"/>
        <v>0.83904000000000001</v>
      </c>
      <c r="H12" s="20">
        <f t="shared" si="7"/>
        <v>0.83899999999999997</v>
      </c>
      <c r="I12" s="20">
        <f t="shared" si="8"/>
        <v>0.83899999999999997</v>
      </c>
      <c r="J12" s="75">
        <f t="shared" si="9"/>
        <v>0.53700000000000003</v>
      </c>
      <c r="K12" s="765"/>
      <c r="L12" s="20"/>
      <c r="M12" s="20"/>
      <c r="N12" s="20"/>
      <c r="O12" s="20"/>
      <c r="P12" s="20"/>
      <c r="Q12" s="21"/>
      <c r="R12" s="22">
        <f t="shared" si="3"/>
        <v>114</v>
      </c>
      <c r="S12" s="20">
        <v>1</v>
      </c>
      <c r="T12" s="20"/>
      <c r="U12" s="22"/>
      <c r="V12" s="20" t="str">
        <f t="shared" si="10"/>
        <v>S-230x114x32</v>
      </c>
    </row>
    <row r="13" spans="1:22" s="294" customFormat="1">
      <c r="A13" s="542" t="s">
        <v>486</v>
      </c>
      <c r="B13" s="2" t="s">
        <v>2165</v>
      </c>
      <c r="C13" s="2">
        <v>230</v>
      </c>
      <c r="D13" s="2">
        <v>114</v>
      </c>
      <c r="E13" s="2">
        <v>40</v>
      </c>
      <c r="F13" s="2">
        <f t="shared" si="5"/>
        <v>40</v>
      </c>
      <c r="G13" s="21">
        <f t="shared" si="6"/>
        <v>1.0488</v>
      </c>
      <c r="H13" s="20">
        <f t="shared" si="7"/>
        <v>1.0489999999999999</v>
      </c>
      <c r="I13" s="20">
        <f t="shared" si="8"/>
        <v>1.0489999999999999</v>
      </c>
      <c r="J13" s="75">
        <f t="shared" si="9"/>
        <v>0.70799999999999996</v>
      </c>
      <c r="K13" s="765"/>
      <c r="L13" s="20"/>
      <c r="M13" s="20"/>
      <c r="N13" s="20"/>
      <c r="O13" s="20"/>
      <c r="P13" s="20"/>
      <c r="Q13" s="21"/>
      <c r="R13" s="22">
        <f t="shared" si="3"/>
        <v>114</v>
      </c>
      <c r="S13" s="20">
        <v>1</v>
      </c>
      <c r="T13" s="20"/>
      <c r="U13" s="22"/>
      <c r="V13" s="20" t="str">
        <f t="shared" si="10"/>
        <v>S-230x114x40</v>
      </c>
    </row>
    <row r="14" spans="1:22" s="294" customFormat="1">
      <c r="A14" s="542" t="s">
        <v>487</v>
      </c>
      <c r="B14" s="2" t="s">
        <v>2165</v>
      </c>
      <c r="C14" s="2">
        <v>230</v>
      </c>
      <c r="D14" s="2">
        <v>114</v>
      </c>
      <c r="E14" s="2">
        <v>50</v>
      </c>
      <c r="F14" s="2">
        <f t="shared" si="5"/>
        <v>50</v>
      </c>
      <c r="G14" s="21">
        <f t="shared" si="6"/>
        <v>1.3109999999999999</v>
      </c>
      <c r="H14" s="20">
        <f t="shared" si="7"/>
        <v>1.3109999999999999</v>
      </c>
      <c r="I14" s="20">
        <f t="shared" si="8"/>
        <v>1.3109999999999999</v>
      </c>
      <c r="J14" s="75">
        <f t="shared" si="9"/>
        <v>0.94299999999999995</v>
      </c>
      <c r="K14" s="765"/>
      <c r="L14" s="20"/>
      <c r="M14" s="20"/>
      <c r="N14" s="20"/>
      <c r="O14" s="20"/>
      <c r="P14" s="20"/>
      <c r="Q14" s="21"/>
      <c r="R14" s="22">
        <f t="shared" si="3"/>
        <v>114</v>
      </c>
      <c r="S14" s="20">
        <v>1</v>
      </c>
      <c r="T14" s="20"/>
      <c r="U14" s="22"/>
      <c r="V14" s="20" t="str">
        <f t="shared" si="10"/>
        <v>S-230x114x50</v>
      </c>
    </row>
    <row r="15" spans="1:22" s="294" customFormat="1">
      <c r="A15" s="542" t="s">
        <v>488</v>
      </c>
      <c r="B15" s="2" t="s">
        <v>2165</v>
      </c>
      <c r="C15" s="2">
        <v>230</v>
      </c>
      <c r="D15" s="2">
        <v>114</v>
      </c>
      <c r="E15" s="2">
        <v>76</v>
      </c>
      <c r="F15" s="2">
        <f t="shared" si="5"/>
        <v>76</v>
      </c>
      <c r="G15" s="21">
        <f t="shared" si="6"/>
        <v>1.99272</v>
      </c>
      <c r="H15" s="20">
        <f t="shared" si="7"/>
        <v>1.9930000000000001</v>
      </c>
      <c r="I15" s="20">
        <f t="shared" si="8"/>
        <v>1.9930000000000001</v>
      </c>
      <c r="J15" s="75">
        <f t="shared" si="9"/>
        <v>1.661</v>
      </c>
      <c r="K15" s="765"/>
      <c r="L15" s="20"/>
      <c r="M15" s="20"/>
      <c r="N15" s="20"/>
      <c r="O15" s="20"/>
      <c r="P15" s="20"/>
      <c r="Q15" s="21"/>
      <c r="R15" s="22">
        <f t="shared" si="3"/>
        <v>114</v>
      </c>
      <c r="S15" s="20">
        <v>1</v>
      </c>
      <c r="T15" s="20"/>
      <c r="U15" s="22"/>
      <c r="V15" s="20" t="str">
        <f t="shared" si="10"/>
        <v>S-230x114x76</v>
      </c>
    </row>
    <row r="16" spans="1:22" s="294" customFormat="1">
      <c r="A16" s="293" t="s">
        <v>528</v>
      </c>
      <c r="B16" s="2" t="s">
        <v>2165</v>
      </c>
      <c r="C16" s="2">
        <v>230</v>
      </c>
      <c r="D16" s="2">
        <v>172</v>
      </c>
      <c r="E16" s="2">
        <v>64</v>
      </c>
      <c r="F16" s="2">
        <f t="shared" si="5"/>
        <v>64</v>
      </c>
      <c r="G16" s="21">
        <f t="shared" si="6"/>
        <v>2.5318399999999999</v>
      </c>
      <c r="H16" s="20">
        <f t="shared" si="7"/>
        <v>2.532</v>
      </c>
      <c r="I16" s="20">
        <f t="shared" si="8"/>
        <v>2.532</v>
      </c>
      <c r="J16" s="75">
        <f t="shared" si="9"/>
        <v>1.7370000000000001</v>
      </c>
      <c r="K16" s="765"/>
      <c r="L16" s="20"/>
      <c r="M16" s="20"/>
      <c r="N16" s="20"/>
      <c r="O16" s="20"/>
      <c r="P16" s="20"/>
      <c r="Q16" s="21"/>
      <c r="R16" s="22">
        <f t="shared" si="3"/>
        <v>172</v>
      </c>
      <c r="S16" s="20">
        <v>1</v>
      </c>
      <c r="T16" s="20"/>
      <c r="U16" s="22"/>
      <c r="V16" s="20" t="str">
        <f t="shared" si="10"/>
        <v>S-230x172x64</v>
      </c>
    </row>
    <row r="17" spans="1:22" s="294" customFormat="1">
      <c r="A17" s="293" t="s">
        <v>489</v>
      </c>
      <c r="B17" s="2" t="s">
        <v>2165</v>
      </c>
      <c r="C17" s="2">
        <v>230</v>
      </c>
      <c r="D17" s="2">
        <v>172</v>
      </c>
      <c r="E17" s="2">
        <v>76</v>
      </c>
      <c r="F17" s="2">
        <f t="shared" si="5"/>
        <v>76</v>
      </c>
      <c r="G17" s="21">
        <f t="shared" si="6"/>
        <v>3.0065599999999999</v>
      </c>
      <c r="H17" s="20">
        <f t="shared" si="7"/>
        <v>3.0070000000000001</v>
      </c>
      <c r="I17" s="20">
        <f t="shared" si="8"/>
        <v>3.0070000000000001</v>
      </c>
      <c r="J17" s="75">
        <f t="shared" si="9"/>
        <v>2.1680000000000001</v>
      </c>
      <c r="K17" s="765"/>
      <c r="L17" s="20"/>
      <c r="M17" s="20"/>
      <c r="N17" s="20"/>
      <c r="O17" s="20"/>
      <c r="P17" s="20"/>
      <c r="Q17" s="21"/>
      <c r="R17" s="22">
        <f t="shared" si="3"/>
        <v>172</v>
      </c>
      <c r="S17" s="20">
        <v>1</v>
      </c>
      <c r="T17" s="20"/>
      <c r="U17" s="22"/>
      <c r="V17" s="20" t="str">
        <f t="shared" si="10"/>
        <v>S-230x172x76</v>
      </c>
    </row>
    <row r="18" spans="1:22" s="294" customFormat="1">
      <c r="A18" s="543" t="s">
        <v>529</v>
      </c>
      <c r="B18" s="2" t="s">
        <v>2165</v>
      </c>
      <c r="C18" s="2">
        <v>345</v>
      </c>
      <c r="D18" s="2">
        <v>114</v>
      </c>
      <c r="E18" s="2">
        <v>64</v>
      </c>
      <c r="F18" s="2">
        <f t="shared" si="5"/>
        <v>64</v>
      </c>
      <c r="G18" s="21">
        <f t="shared" si="6"/>
        <v>2.5171199999999998</v>
      </c>
      <c r="H18" s="20">
        <f t="shared" si="7"/>
        <v>2.5169999999999999</v>
      </c>
      <c r="I18" s="20">
        <f t="shared" si="8"/>
        <v>2.5169999999999999</v>
      </c>
      <c r="J18" s="75">
        <f t="shared" si="9"/>
        <v>1.9650000000000001</v>
      </c>
      <c r="K18" s="765"/>
      <c r="L18" s="20"/>
      <c r="M18" s="20"/>
      <c r="N18" s="20"/>
      <c r="O18" s="20"/>
      <c r="P18" s="20"/>
      <c r="Q18" s="21"/>
      <c r="R18" s="22">
        <f t="shared" si="3"/>
        <v>114</v>
      </c>
      <c r="S18" s="20">
        <v>1</v>
      </c>
      <c r="T18" s="20"/>
      <c r="U18" s="22"/>
      <c r="V18" s="20" t="str">
        <f t="shared" si="10"/>
        <v>S-345x114x64</v>
      </c>
    </row>
    <row r="19" spans="1:22" s="294" customFormat="1">
      <c r="A19" s="543" t="s">
        <v>496</v>
      </c>
      <c r="B19" s="2" t="s">
        <v>2165</v>
      </c>
      <c r="C19" s="2">
        <v>345</v>
      </c>
      <c r="D19" s="2">
        <v>114</v>
      </c>
      <c r="E19" s="2">
        <v>76</v>
      </c>
      <c r="F19" s="2">
        <f t="shared" si="5"/>
        <v>76</v>
      </c>
      <c r="G19" s="21">
        <f t="shared" si="6"/>
        <v>2.98908</v>
      </c>
      <c r="H19" s="20">
        <f t="shared" si="7"/>
        <v>2.9889999999999999</v>
      </c>
      <c r="I19" s="20">
        <f t="shared" si="8"/>
        <v>2.9889999999999999</v>
      </c>
      <c r="J19" s="75">
        <f t="shared" si="9"/>
        <v>2.4910000000000001</v>
      </c>
      <c r="K19" s="765"/>
      <c r="L19" s="20"/>
      <c r="M19" s="20"/>
      <c r="N19" s="20"/>
      <c r="O19" s="20"/>
      <c r="P19" s="20"/>
      <c r="Q19" s="21"/>
      <c r="R19" s="22">
        <f t="shared" si="3"/>
        <v>114</v>
      </c>
      <c r="S19" s="20">
        <v>1</v>
      </c>
      <c r="T19" s="20"/>
      <c r="U19" s="22"/>
      <c r="V19" s="20" t="str">
        <f t="shared" si="10"/>
        <v>S-345x114x76</v>
      </c>
    </row>
    <row r="20" spans="1:22" s="294" customFormat="1">
      <c r="A20" s="293" t="s">
        <v>489</v>
      </c>
      <c r="B20" s="2" t="s">
        <v>2165</v>
      </c>
      <c r="C20" s="2">
        <v>230</v>
      </c>
      <c r="D20" s="2">
        <v>172</v>
      </c>
      <c r="E20" s="2">
        <v>76</v>
      </c>
      <c r="F20" s="2">
        <f t="shared" si="5"/>
        <v>76</v>
      </c>
      <c r="G20" s="21">
        <f t="shared" si="6"/>
        <v>3.0065599999999999</v>
      </c>
      <c r="H20" s="20">
        <f t="shared" si="7"/>
        <v>3.0070000000000001</v>
      </c>
      <c r="I20" s="20">
        <f t="shared" si="8"/>
        <v>3.0070000000000001</v>
      </c>
      <c r="J20" s="75">
        <f t="shared" si="9"/>
        <v>2.1680000000000001</v>
      </c>
      <c r="K20" s="765"/>
      <c r="L20" s="20"/>
      <c r="M20" s="20"/>
      <c r="N20" s="20"/>
      <c r="O20" s="20"/>
      <c r="P20" s="20"/>
      <c r="Q20" s="21"/>
      <c r="R20" s="22">
        <f t="shared" si="3"/>
        <v>172</v>
      </c>
      <c r="S20" s="20">
        <v>1</v>
      </c>
      <c r="T20" s="20"/>
      <c r="U20" s="22"/>
      <c r="V20" s="20" t="str">
        <f t="shared" si="10"/>
        <v>S-230x172x76</v>
      </c>
    </row>
    <row r="21" spans="1:22" s="294" customFormat="1">
      <c r="A21" s="293" t="s">
        <v>2044</v>
      </c>
      <c r="B21" s="2" t="s">
        <v>2165</v>
      </c>
      <c r="C21" s="2">
        <v>230</v>
      </c>
      <c r="D21" s="2">
        <v>230</v>
      </c>
      <c r="E21" s="2">
        <v>64</v>
      </c>
      <c r="F21" s="2">
        <f t="shared" si="5"/>
        <v>64</v>
      </c>
      <c r="G21" s="21">
        <f t="shared" si="6"/>
        <v>3.3856000000000002</v>
      </c>
      <c r="H21" s="20">
        <f t="shared" si="7"/>
        <v>3.3860000000000001</v>
      </c>
      <c r="I21" s="20">
        <f t="shared" si="8"/>
        <v>3.3860000000000001</v>
      </c>
      <c r="J21" s="75">
        <f t="shared" si="9"/>
        <v>2.1640000000000001</v>
      </c>
      <c r="K21" s="765"/>
      <c r="L21" s="20"/>
      <c r="M21" s="20"/>
      <c r="N21" s="20"/>
      <c r="O21" s="20"/>
      <c r="P21" s="20"/>
      <c r="Q21" s="21"/>
      <c r="R21" s="22">
        <f t="shared" si="3"/>
        <v>230</v>
      </c>
      <c r="S21" s="20">
        <v>1</v>
      </c>
      <c r="T21" s="20"/>
      <c r="U21" s="22"/>
      <c r="V21" s="20" t="str">
        <f t="shared" si="10"/>
        <v>S-230x230x64</v>
      </c>
    </row>
    <row r="22" spans="1:22" s="294" customFormat="1">
      <c r="A22" s="293" t="s">
        <v>490</v>
      </c>
      <c r="B22" s="2" t="s">
        <v>2165</v>
      </c>
      <c r="C22" s="2">
        <v>230</v>
      </c>
      <c r="D22" s="2">
        <v>230</v>
      </c>
      <c r="E22" s="2">
        <v>76</v>
      </c>
      <c r="F22" s="2">
        <f t="shared" si="5"/>
        <v>76</v>
      </c>
      <c r="G22" s="21">
        <f t="shared" si="6"/>
        <v>4.0204000000000004</v>
      </c>
      <c r="H22" s="20">
        <f t="shared" si="7"/>
        <v>4.0199999999999996</v>
      </c>
      <c r="I22" s="20">
        <f t="shared" si="8"/>
        <v>4.0199999999999996</v>
      </c>
      <c r="J22" s="75">
        <f t="shared" si="9"/>
        <v>2.6739999999999999</v>
      </c>
      <c r="K22" s="765"/>
      <c r="L22" s="20"/>
      <c r="M22" s="20"/>
      <c r="N22" s="20"/>
      <c r="O22" s="20"/>
      <c r="P22" s="20"/>
      <c r="Q22" s="21"/>
      <c r="R22" s="22">
        <f t="shared" si="3"/>
        <v>230</v>
      </c>
      <c r="S22" s="20">
        <v>1</v>
      </c>
      <c r="T22" s="20"/>
      <c r="U22" s="22"/>
      <c r="V22" s="20" t="str">
        <f t="shared" si="10"/>
        <v>S-230x230x76</v>
      </c>
    </row>
    <row r="23" spans="1:22" s="294" customFormat="1">
      <c r="A23" s="542">
        <v>2</v>
      </c>
      <c r="B23" s="2" t="s">
        <v>2165</v>
      </c>
      <c r="C23" s="2">
        <v>250</v>
      </c>
      <c r="D23" s="2">
        <v>124</v>
      </c>
      <c r="E23" s="2">
        <v>64</v>
      </c>
      <c r="F23" s="2">
        <f t="shared" si="5"/>
        <v>64</v>
      </c>
      <c r="G23" s="21">
        <f t="shared" si="6"/>
        <v>1.984</v>
      </c>
      <c r="H23" s="20">
        <f t="shared" si="7"/>
        <v>1.984</v>
      </c>
      <c r="I23" s="20">
        <f t="shared" si="8"/>
        <v>1.984</v>
      </c>
      <c r="J23" s="75">
        <f t="shared" si="9"/>
        <v>1.504</v>
      </c>
      <c r="K23" s="765"/>
      <c r="L23" s="20"/>
      <c r="M23" s="20"/>
      <c r="N23" s="20"/>
      <c r="O23" s="20"/>
      <c r="P23" s="20"/>
      <c r="Q23" s="21"/>
      <c r="R23" s="22">
        <f t="shared" si="3"/>
        <v>124</v>
      </c>
      <c r="S23" s="20">
        <v>1</v>
      </c>
      <c r="T23" s="20"/>
      <c r="U23" s="22"/>
      <c r="V23" s="20" t="str">
        <f t="shared" si="10"/>
        <v>S-250x124x64</v>
      </c>
    </row>
    <row r="24" spans="1:22" s="294" customFormat="1">
      <c r="A24" s="542" t="s">
        <v>530</v>
      </c>
      <c r="B24" s="2" t="s">
        <v>2165</v>
      </c>
      <c r="C24" s="2">
        <v>250</v>
      </c>
      <c r="D24" s="2">
        <v>124</v>
      </c>
      <c r="E24" s="2">
        <v>20</v>
      </c>
      <c r="F24" s="2">
        <f t="shared" si="5"/>
        <v>20</v>
      </c>
      <c r="G24" s="21">
        <f t="shared" si="6"/>
        <v>0.62</v>
      </c>
      <c r="H24" s="20">
        <f t="shared" si="7"/>
        <v>0.62</v>
      </c>
      <c r="I24" s="20">
        <f t="shared" si="8"/>
        <v>0.62</v>
      </c>
      <c r="J24" s="75">
        <f t="shared" si="9"/>
        <v>0.36</v>
      </c>
      <c r="K24" s="765"/>
      <c r="L24" s="20"/>
      <c r="M24" s="20"/>
      <c r="N24" s="20"/>
      <c r="O24" s="20"/>
      <c r="P24" s="20"/>
      <c r="Q24" s="21"/>
      <c r="R24" s="22">
        <f t="shared" si="3"/>
        <v>124</v>
      </c>
      <c r="S24" s="20">
        <v>1</v>
      </c>
      <c r="T24" s="20"/>
      <c r="U24" s="22"/>
      <c r="V24" s="20" t="str">
        <f t="shared" si="10"/>
        <v>S-250x124x20</v>
      </c>
    </row>
    <row r="25" spans="1:22" s="294" customFormat="1">
      <c r="A25" s="542" t="s">
        <v>531</v>
      </c>
      <c r="B25" s="2" t="s">
        <v>2165</v>
      </c>
      <c r="C25" s="2">
        <v>250</v>
      </c>
      <c r="D25" s="2">
        <v>124</v>
      </c>
      <c r="E25" s="2">
        <v>32</v>
      </c>
      <c r="F25" s="2">
        <f t="shared" si="5"/>
        <v>32</v>
      </c>
      <c r="G25" s="21">
        <f t="shared" si="6"/>
        <v>0.99199999999999999</v>
      </c>
      <c r="H25" s="20">
        <f t="shared" si="7"/>
        <v>0.99199999999999999</v>
      </c>
      <c r="I25" s="20">
        <f t="shared" si="8"/>
        <v>0.99199999999999999</v>
      </c>
      <c r="J25" s="75">
        <f t="shared" si="9"/>
        <v>0.624</v>
      </c>
      <c r="K25" s="765"/>
      <c r="L25" s="20"/>
      <c r="M25" s="20"/>
      <c r="N25" s="20"/>
      <c r="O25" s="20"/>
      <c r="P25" s="20"/>
      <c r="Q25" s="21"/>
      <c r="R25" s="22">
        <f t="shared" si="3"/>
        <v>124</v>
      </c>
      <c r="S25" s="20">
        <v>1</v>
      </c>
      <c r="T25" s="20"/>
      <c r="U25" s="22"/>
      <c r="V25" s="20" t="str">
        <f t="shared" si="10"/>
        <v>S-250x124x32</v>
      </c>
    </row>
    <row r="26" spans="1:22" s="294" customFormat="1">
      <c r="A26" s="542" t="s">
        <v>532</v>
      </c>
      <c r="B26" s="2" t="s">
        <v>2165</v>
      </c>
      <c r="C26" s="2">
        <v>250</v>
      </c>
      <c r="D26" s="2">
        <v>124</v>
      </c>
      <c r="E26" s="2">
        <v>40</v>
      </c>
      <c r="F26" s="2">
        <f t="shared" si="5"/>
        <v>40</v>
      </c>
      <c r="G26" s="21">
        <f t="shared" si="6"/>
        <v>1.24</v>
      </c>
      <c r="H26" s="20">
        <f t="shared" si="7"/>
        <v>1.24</v>
      </c>
      <c r="I26" s="20">
        <f t="shared" si="8"/>
        <v>1.24</v>
      </c>
      <c r="J26" s="75">
        <f t="shared" si="9"/>
        <v>0.82</v>
      </c>
      <c r="K26" s="765"/>
      <c r="L26" s="20"/>
      <c r="M26" s="20"/>
      <c r="N26" s="20"/>
      <c r="O26" s="20"/>
      <c r="P26" s="20"/>
      <c r="Q26" s="21"/>
      <c r="R26" s="22">
        <f t="shared" si="3"/>
        <v>124</v>
      </c>
      <c r="S26" s="20">
        <v>1</v>
      </c>
      <c r="T26" s="20"/>
      <c r="U26" s="22"/>
      <c r="V26" s="20" t="str">
        <f t="shared" si="10"/>
        <v>S-250x124x40</v>
      </c>
    </row>
    <row r="27" spans="1:22" s="294" customFormat="1">
      <c r="A27" s="542" t="s">
        <v>533</v>
      </c>
      <c r="B27" s="2" t="s">
        <v>2165</v>
      </c>
      <c r="C27" s="2">
        <v>250</v>
      </c>
      <c r="D27" s="2">
        <v>124</v>
      </c>
      <c r="E27" s="2">
        <v>50</v>
      </c>
      <c r="F27" s="2">
        <f t="shared" si="5"/>
        <v>50</v>
      </c>
      <c r="G27" s="21">
        <f t="shared" si="6"/>
        <v>1.55</v>
      </c>
      <c r="H27" s="20">
        <f t="shared" si="7"/>
        <v>1.55</v>
      </c>
      <c r="I27" s="20">
        <f t="shared" si="8"/>
        <v>1.55</v>
      </c>
      <c r="J27" s="75">
        <f t="shared" si="9"/>
        <v>1.0880000000000001</v>
      </c>
      <c r="K27" s="765"/>
      <c r="L27" s="20"/>
      <c r="M27" s="20"/>
      <c r="N27" s="20"/>
      <c r="O27" s="20"/>
      <c r="P27" s="20"/>
      <c r="Q27" s="21"/>
      <c r="R27" s="22">
        <f t="shared" si="3"/>
        <v>124</v>
      </c>
      <c r="S27" s="20">
        <v>1</v>
      </c>
      <c r="T27" s="20"/>
      <c r="U27" s="22"/>
      <c r="V27" s="20" t="str">
        <f t="shared" si="10"/>
        <v>S-250x124x50</v>
      </c>
    </row>
    <row r="28" spans="1:22" s="294" customFormat="1">
      <c r="A28" s="542" t="s">
        <v>534</v>
      </c>
      <c r="B28" s="2" t="s">
        <v>2165</v>
      </c>
      <c r="C28" s="2">
        <v>250</v>
      </c>
      <c r="D28" s="2">
        <v>124</v>
      </c>
      <c r="E28" s="2">
        <v>65</v>
      </c>
      <c r="F28" s="2">
        <f t="shared" si="5"/>
        <v>65</v>
      </c>
      <c r="G28" s="21">
        <f t="shared" si="6"/>
        <v>2.0150000000000001</v>
      </c>
      <c r="H28" s="20">
        <f t="shared" si="7"/>
        <v>2.0150000000000001</v>
      </c>
      <c r="I28" s="20">
        <f t="shared" si="8"/>
        <v>2.0150000000000001</v>
      </c>
      <c r="J28" s="75">
        <f t="shared" si="9"/>
        <v>1.536</v>
      </c>
      <c r="K28" s="765"/>
      <c r="L28" s="20"/>
      <c r="M28" s="20"/>
      <c r="N28" s="20"/>
      <c r="O28" s="20"/>
      <c r="P28" s="20"/>
      <c r="Q28" s="21"/>
      <c r="R28" s="22">
        <f t="shared" si="3"/>
        <v>124</v>
      </c>
      <c r="S28" s="20">
        <v>1</v>
      </c>
      <c r="T28" s="20"/>
      <c r="U28" s="22"/>
      <c r="V28" s="20" t="str">
        <f t="shared" si="10"/>
        <v>S-250x124x65</v>
      </c>
    </row>
    <row r="29" spans="1:22" s="294" customFormat="1">
      <c r="A29" s="542" t="s">
        <v>491</v>
      </c>
      <c r="B29" s="2" t="s">
        <v>2165</v>
      </c>
      <c r="C29" s="2">
        <v>250</v>
      </c>
      <c r="D29" s="2">
        <v>124</v>
      </c>
      <c r="E29" s="2">
        <v>76</v>
      </c>
      <c r="F29" s="2">
        <f t="shared" si="5"/>
        <v>76</v>
      </c>
      <c r="G29" s="21">
        <f t="shared" si="6"/>
        <v>2.3559999999999999</v>
      </c>
      <c r="H29" s="20">
        <f t="shared" si="7"/>
        <v>2.3559999999999999</v>
      </c>
      <c r="I29" s="20">
        <f t="shared" si="8"/>
        <v>2.3559999999999999</v>
      </c>
      <c r="J29" s="75">
        <f t="shared" si="9"/>
        <v>1.9</v>
      </c>
      <c r="K29" s="765"/>
      <c r="L29" s="20"/>
      <c r="M29" s="20"/>
      <c r="N29" s="20"/>
      <c r="O29" s="20"/>
      <c r="P29" s="20"/>
      <c r="Q29" s="21"/>
      <c r="R29" s="22">
        <f t="shared" si="3"/>
        <v>124</v>
      </c>
      <c r="S29" s="20">
        <v>1</v>
      </c>
      <c r="T29" s="20"/>
      <c r="U29" s="22"/>
      <c r="V29" s="20" t="str">
        <f t="shared" si="10"/>
        <v>S-250x124x76</v>
      </c>
    </row>
    <row r="30" spans="1:22" s="294" customFormat="1">
      <c r="A30" s="542" t="s">
        <v>535</v>
      </c>
      <c r="B30" s="2" t="s">
        <v>2165</v>
      </c>
      <c r="C30" s="2">
        <v>250</v>
      </c>
      <c r="D30" s="2">
        <v>124</v>
      </c>
      <c r="E30" s="2">
        <v>80</v>
      </c>
      <c r="F30" s="2">
        <f t="shared" si="5"/>
        <v>80</v>
      </c>
      <c r="G30" s="21">
        <f t="shared" si="6"/>
        <v>2.48</v>
      </c>
      <c r="H30" s="20">
        <f t="shared" si="7"/>
        <v>2.48</v>
      </c>
      <c r="I30" s="20">
        <f t="shared" si="8"/>
        <v>2.48</v>
      </c>
      <c r="J30" s="75">
        <f t="shared" si="9"/>
        <v>2.04</v>
      </c>
      <c r="K30" s="765"/>
      <c r="L30" s="20"/>
      <c r="M30" s="20"/>
      <c r="N30" s="20"/>
      <c r="O30" s="20"/>
      <c r="P30" s="20"/>
      <c r="Q30" s="21"/>
      <c r="R30" s="22">
        <f t="shared" si="3"/>
        <v>124</v>
      </c>
      <c r="S30" s="20">
        <v>1</v>
      </c>
      <c r="T30" s="20"/>
      <c r="U30" s="22"/>
      <c r="V30" s="20" t="str">
        <f t="shared" si="10"/>
        <v>S-250x124x80</v>
      </c>
    </row>
    <row r="31" spans="1:22" s="294" customFormat="1">
      <c r="A31" s="293" t="s">
        <v>536</v>
      </c>
      <c r="B31" s="2" t="s">
        <v>2165</v>
      </c>
      <c r="C31" s="2">
        <v>250</v>
      </c>
      <c r="D31" s="2">
        <v>187</v>
      </c>
      <c r="E31" s="2">
        <v>64</v>
      </c>
      <c r="F31" s="2">
        <f t="shared" si="5"/>
        <v>64</v>
      </c>
      <c r="G31" s="21">
        <f t="shared" si="6"/>
        <v>2.992</v>
      </c>
      <c r="H31" s="20">
        <f t="shared" si="7"/>
        <v>2.992</v>
      </c>
      <c r="I31" s="20">
        <f t="shared" si="8"/>
        <v>2.992</v>
      </c>
      <c r="J31" s="75">
        <f t="shared" si="9"/>
        <v>2.008</v>
      </c>
      <c r="K31" s="765"/>
      <c r="L31" s="20"/>
      <c r="M31" s="20"/>
      <c r="N31" s="20"/>
      <c r="O31" s="20"/>
      <c r="P31" s="20"/>
      <c r="Q31" s="21"/>
      <c r="R31" s="22">
        <f t="shared" si="3"/>
        <v>187</v>
      </c>
      <c r="S31" s="20">
        <v>1</v>
      </c>
      <c r="T31" s="20"/>
      <c r="U31" s="22"/>
      <c r="V31" s="20" t="str">
        <f t="shared" si="10"/>
        <v>S-250x187x64</v>
      </c>
    </row>
    <row r="32" spans="1:22" s="294" customFormat="1">
      <c r="A32" s="293" t="s">
        <v>492</v>
      </c>
      <c r="B32" s="2" t="s">
        <v>2165</v>
      </c>
      <c r="C32" s="2">
        <v>250</v>
      </c>
      <c r="D32" s="2">
        <v>187</v>
      </c>
      <c r="E32" s="2">
        <v>76</v>
      </c>
      <c r="F32" s="2">
        <f t="shared" si="5"/>
        <v>76</v>
      </c>
      <c r="G32" s="21">
        <f t="shared" si="6"/>
        <v>3.5529999999999999</v>
      </c>
      <c r="H32" s="20">
        <f>ROUND(C32*D32*E32/10^6,3)</f>
        <v>3.5529999999999999</v>
      </c>
      <c r="I32" s="20">
        <f>IF(F32="","-",ROUND((E32+F32)*C32/2*D32/10^6,3))</f>
        <v>3.5529999999999999</v>
      </c>
      <c r="J32" s="75">
        <f>IF(F32="","-",ROUND((D32+E32)*C32/2*F32/10^6,3))</f>
        <v>2.4990000000000001</v>
      </c>
      <c r="K32" s="765"/>
      <c r="L32" s="20"/>
      <c r="M32" s="20"/>
      <c r="N32" s="20"/>
      <c r="O32" s="20"/>
      <c r="P32" s="20"/>
      <c r="Q32" s="21"/>
      <c r="R32" s="22">
        <f>D32</f>
        <v>187</v>
      </c>
      <c r="S32" s="20">
        <v>1</v>
      </c>
      <c r="T32" s="20"/>
      <c r="U32" s="22"/>
      <c r="V32" s="20" t="str">
        <f>B32&amp;"-"&amp;C32&amp;"x"&amp;D32&amp;"x"&amp;E32</f>
        <v>S-250x187x76</v>
      </c>
    </row>
    <row r="33" spans="1:22" s="294" customFormat="1">
      <c r="A33" s="293" t="s">
        <v>538</v>
      </c>
      <c r="B33" s="2" t="s">
        <v>2165</v>
      </c>
      <c r="C33" s="2">
        <v>250</v>
      </c>
      <c r="D33" s="2">
        <v>250</v>
      </c>
      <c r="E33" s="2">
        <v>64</v>
      </c>
      <c r="F33" s="2">
        <f t="shared" si="5"/>
        <v>64</v>
      </c>
      <c r="G33" s="21">
        <f t="shared" si="6"/>
        <v>4</v>
      </c>
      <c r="H33" s="20">
        <f t="shared" si="7"/>
        <v>4</v>
      </c>
      <c r="I33" s="20">
        <f t="shared" si="8"/>
        <v>4</v>
      </c>
      <c r="J33" s="75">
        <f t="shared" si="9"/>
        <v>2.512</v>
      </c>
      <c r="K33" s="765"/>
      <c r="L33" s="20"/>
      <c r="M33" s="20"/>
      <c r="N33" s="20"/>
      <c r="O33" s="20"/>
      <c r="P33" s="20"/>
      <c r="Q33" s="21"/>
      <c r="R33" s="22">
        <f t="shared" si="3"/>
        <v>250</v>
      </c>
      <c r="S33" s="20">
        <v>1</v>
      </c>
      <c r="T33" s="20"/>
      <c r="U33" s="22"/>
      <c r="V33" s="20" t="str">
        <f t="shared" si="10"/>
        <v>S-250x250x64</v>
      </c>
    </row>
    <row r="34" spans="1:22" s="294" customFormat="1">
      <c r="A34" s="293" t="s">
        <v>2045</v>
      </c>
      <c r="B34" s="2" t="s">
        <v>2165</v>
      </c>
      <c r="C34" s="2">
        <v>250</v>
      </c>
      <c r="D34" s="2">
        <v>250</v>
      </c>
      <c r="E34" s="2">
        <v>76</v>
      </c>
      <c r="F34" s="2">
        <f t="shared" si="5"/>
        <v>76</v>
      </c>
      <c r="G34" s="21">
        <f t="shared" si="6"/>
        <v>4.75</v>
      </c>
      <c r="H34" s="20">
        <f t="shared" si="7"/>
        <v>4.75</v>
      </c>
      <c r="I34" s="20">
        <f t="shared" si="8"/>
        <v>4.75</v>
      </c>
      <c r="J34" s="75">
        <f t="shared" si="9"/>
        <v>3.097</v>
      </c>
      <c r="K34" s="765"/>
      <c r="L34" s="20"/>
      <c r="M34" s="20"/>
      <c r="N34" s="20"/>
      <c r="O34" s="20"/>
      <c r="P34" s="20"/>
      <c r="Q34" s="21"/>
      <c r="R34" s="22">
        <f t="shared" si="3"/>
        <v>250</v>
      </c>
      <c r="S34" s="20">
        <v>1</v>
      </c>
      <c r="T34" s="20"/>
      <c r="U34" s="22"/>
      <c r="V34" s="20" t="str">
        <f t="shared" si="10"/>
        <v>S-250x250x76</v>
      </c>
    </row>
    <row r="35" spans="1:22" s="294" customFormat="1">
      <c r="A35" s="293" t="s">
        <v>537</v>
      </c>
      <c r="B35" s="2" t="s">
        <v>2165</v>
      </c>
      <c r="C35" s="2">
        <v>375</v>
      </c>
      <c r="D35" s="2">
        <v>124</v>
      </c>
      <c r="E35" s="2">
        <v>64</v>
      </c>
      <c r="F35" s="2">
        <f t="shared" si="5"/>
        <v>64</v>
      </c>
      <c r="G35" s="21">
        <f t="shared" si="6"/>
        <v>2.976</v>
      </c>
      <c r="H35" s="20">
        <f t="shared" si="7"/>
        <v>2.976</v>
      </c>
      <c r="I35" s="20">
        <f t="shared" si="8"/>
        <v>2.976</v>
      </c>
      <c r="J35" s="75">
        <f t="shared" si="9"/>
        <v>2.2559999999999998</v>
      </c>
      <c r="K35" s="765"/>
      <c r="L35" s="20"/>
      <c r="M35" s="20"/>
      <c r="N35" s="20"/>
      <c r="O35" s="20"/>
      <c r="P35" s="20"/>
      <c r="Q35" s="21"/>
      <c r="R35" s="22">
        <f t="shared" si="3"/>
        <v>124</v>
      </c>
      <c r="S35" s="20">
        <v>1</v>
      </c>
      <c r="T35" s="20"/>
      <c r="U35" s="22"/>
      <c r="V35" s="20" t="str">
        <f t="shared" si="10"/>
        <v>S-375x124x64</v>
      </c>
    </row>
    <row r="36" spans="1:22" s="294" customFormat="1">
      <c r="A36" s="543" t="s">
        <v>497</v>
      </c>
      <c r="B36" s="2" t="s">
        <v>2165</v>
      </c>
      <c r="C36" s="2">
        <v>375</v>
      </c>
      <c r="D36" s="2">
        <v>124</v>
      </c>
      <c r="E36" s="2">
        <v>76</v>
      </c>
      <c r="F36" s="2">
        <f t="shared" si="5"/>
        <v>76</v>
      </c>
      <c r="G36" s="21">
        <f t="shared" si="6"/>
        <v>3.5339999999999998</v>
      </c>
      <c r="H36" s="20">
        <f>ROUND(C36*D36*E36/10^6,3)</f>
        <v>3.5339999999999998</v>
      </c>
      <c r="I36" s="20">
        <f>IF(F36="","-",ROUND((E36+F36)*C36/2*D36/10^6,3))</f>
        <v>3.5339999999999998</v>
      </c>
      <c r="J36" s="75">
        <f>IF(F36="","-",ROUND((D36+E36)*C36/2*F36/10^6,3))</f>
        <v>2.85</v>
      </c>
      <c r="K36" s="765"/>
      <c r="L36" s="20"/>
      <c r="M36" s="20"/>
      <c r="N36" s="20"/>
      <c r="O36" s="20"/>
      <c r="P36" s="20"/>
      <c r="Q36" s="21"/>
      <c r="R36" s="22">
        <f>D36</f>
        <v>124</v>
      </c>
      <c r="S36" s="20">
        <v>1</v>
      </c>
      <c r="T36" s="20"/>
      <c r="U36" s="22"/>
      <c r="V36" s="20" t="str">
        <f>B36&amp;"-"&amp;C36&amp;"x"&amp;D36&amp;"x"&amp;E36</f>
        <v>S-375x124x76</v>
      </c>
    </row>
    <row r="37" spans="1:22" s="294" customFormat="1">
      <c r="A37" s="543" t="s">
        <v>498</v>
      </c>
      <c r="B37" s="2" t="s">
        <v>2165</v>
      </c>
      <c r="C37" s="2">
        <v>375</v>
      </c>
      <c r="D37" s="2">
        <v>187</v>
      </c>
      <c r="E37" s="2">
        <v>76</v>
      </c>
      <c r="F37" s="2">
        <f t="shared" si="5"/>
        <v>76</v>
      </c>
      <c r="G37" s="21">
        <f t="shared" si="6"/>
        <v>5.3295000000000003</v>
      </c>
      <c r="H37" s="20">
        <f>ROUND(C37*D37*E37/10^6,3)</f>
        <v>5.33</v>
      </c>
      <c r="I37" s="20">
        <f>IF(F37="","-",ROUND((E37+F37)*C37/2*D37/10^6,3))</f>
        <v>5.33</v>
      </c>
      <c r="J37" s="75">
        <f>IF(F37="","-",ROUND((D37+E37)*C37/2*F37/10^6,3))</f>
        <v>3.7480000000000002</v>
      </c>
      <c r="K37" s="765"/>
      <c r="L37" s="20"/>
      <c r="M37" s="20"/>
      <c r="N37" s="20"/>
      <c r="O37" s="20"/>
      <c r="P37" s="20"/>
      <c r="Q37" s="21"/>
      <c r="R37" s="22">
        <f>D37</f>
        <v>187</v>
      </c>
      <c r="S37" s="20">
        <v>1</v>
      </c>
      <c r="T37" s="20"/>
      <c r="U37" s="22"/>
      <c r="V37" s="20" t="str">
        <f>B37&amp;"-"&amp;C37&amp;"x"&amp;D37&amp;"x"&amp;E37</f>
        <v>S-375x187x76</v>
      </c>
    </row>
    <row r="38" spans="1:22" s="294" customFormat="1">
      <c r="A38" s="293" t="s">
        <v>539</v>
      </c>
      <c r="B38" s="2" t="s">
        <v>2165</v>
      </c>
      <c r="C38" s="2">
        <v>187</v>
      </c>
      <c r="D38" s="2">
        <v>155</v>
      </c>
      <c r="E38" s="2">
        <v>124</v>
      </c>
      <c r="F38" s="2">
        <f t="shared" si="5"/>
        <v>124</v>
      </c>
      <c r="G38" s="21">
        <f t="shared" si="6"/>
        <v>3.5941399999999999</v>
      </c>
      <c r="H38" s="20">
        <f t="shared" si="7"/>
        <v>3.5939999999999999</v>
      </c>
      <c r="I38" s="20">
        <f t="shared" si="8"/>
        <v>3.5939999999999999</v>
      </c>
      <c r="J38" s="75">
        <f t="shared" si="9"/>
        <v>3.2349999999999999</v>
      </c>
      <c r="K38" s="765"/>
      <c r="L38" s="20"/>
      <c r="M38" s="20"/>
      <c r="N38" s="20"/>
      <c r="O38" s="20"/>
      <c r="P38" s="20"/>
      <c r="Q38" s="21"/>
      <c r="R38" s="22">
        <f t="shared" si="3"/>
        <v>155</v>
      </c>
      <c r="S38" s="20">
        <v>1</v>
      </c>
      <c r="T38" s="20"/>
      <c r="U38" s="22"/>
      <c r="V38" s="20" t="str">
        <f t="shared" si="10"/>
        <v>S-187x155x124</v>
      </c>
    </row>
    <row r="39" spans="1:22" s="294" customFormat="1">
      <c r="A39" s="293" t="s">
        <v>540</v>
      </c>
      <c r="B39" s="2" t="s">
        <v>2165</v>
      </c>
      <c r="C39" s="2">
        <v>210</v>
      </c>
      <c r="D39" s="2">
        <v>187</v>
      </c>
      <c r="E39" s="2">
        <v>155</v>
      </c>
      <c r="F39" s="2">
        <f t="shared" si="5"/>
        <v>155</v>
      </c>
      <c r="G39" s="21">
        <f t="shared" si="6"/>
        <v>6.0868500000000001</v>
      </c>
      <c r="H39" s="20">
        <f t="shared" si="7"/>
        <v>6.0869999999999997</v>
      </c>
      <c r="I39" s="20">
        <f t="shared" si="8"/>
        <v>6.0869999999999997</v>
      </c>
      <c r="J39" s="75">
        <f t="shared" si="9"/>
        <v>5.5659999999999998</v>
      </c>
      <c r="K39" s="765"/>
      <c r="L39" s="20"/>
      <c r="M39" s="20"/>
      <c r="N39" s="20"/>
      <c r="O39" s="20"/>
      <c r="P39" s="20"/>
      <c r="Q39" s="21"/>
      <c r="R39" s="22">
        <f t="shared" si="3"/>
        <v>187</v>
      </c>
      <c r="S39" s="20">
        <v>1</v>
      </c>
      <c r="T39" s="20"/>
      <c r="U39" s="22"/>
      <c r="V39" s="20" t="str">
        <f t="shared" si="10"/>
        <v>S-210x187x155</v>
      </c>
    </row>
    <row r="40" spans="1:22" s="294" customFormat="1">
      <c r="A40" s="293" t="s">
        <v>541</v>
      </c>
      <c r="B40" s="2" t="s">
        <v>2165</v>
      </c>
      <c r="C40" s="2">
        <v>340</v>
      </c>
      <c r="D40" s="2">
        <v>210</v>
      </c>
      <c r="E40" s="2">
        <v>88</v>
      </c>
      <c r="F40" s="2">
        <f t="shared" si="5"/>
        <v>88</v>
      </c>
      <c r="G40" s="21">
        <f t="shared" si="6"/>
        <v>6.2831999999999999</v>
      </c>
      <c r="H40" s="20">
        <f t="shared" si="7"/>
        <v>6.2830000000000004</v>
      </c>
      <c r="I40" s="20">
        <f t="shared" si="8"/>
        <v>6.2830000000000004</v>
      </c>
      <c r="J40" s="75">
        <f t="shared" si="9"/>
        <v>4.4580000000000002</v>
      </c>
      <c r="K40" s="765"/>
      <c r="L40" s="20"/>
      <c r="M40" s="20"/>
      <c r="N40" s="20"/>
      <c r="O40" s="20"/>
      <c r="P40" s="20"/>
      <c r="Q40" s="21"/>
      <c r="R40" s="22">
        <f t="shared" si="3"/>
        <v>210</v>
      </c>
      <c r="S40" s="20">
        <v>1</v>
      </c>
      <c r="T40" s="20"/>
      <c r="U40" s="22"/>
      <c r="V40" s="20" t="str">
        <f t="shared" si="10"/>
        <v>S-340x210x88</v>
      </c>
    </row>
    <row r="41" spans="1:22" s="294" customFormat="1">
      <c r="A41" s="542">
        <v>3</v>
      </c>
      <c r="B41" s="2" t="s">
        <v>2165</v>
      </c>
      <c r="C41" s="2">
        <v>300</v>
      </c>
      <c r="D41" s="2">
        <v>150</v>
      </c>
      <c r="E41" s="2">
        <v>64</v>
      </c>
      <c r="F41" s="2">
        <f t="shared" si="5"/>
        <v>64</v>
      </c>
      <c r="G41" s="21">
        <f t="shared" si="6"/>
        <v>2.88</v>
      </c>
      <c r="H41" s="20">
        <f t="shared" si="7"/>
        <v>2.88</v>
      </c>
      <c r="I41" s="20">
        <f t="shared" si="8"/>
        <v>2.88</v>
      </c>
      <c r="J41" s="75">
        <f t="shared" si="9"/>
        <v>2.0539999999999998</v>
      </c>
      <c r="K41" s="765"/>
      <c r="L41" s="20"/>
      <c r="M41" s="20"/>
      <c r="N41" s="20"/>
      <c r="O41" s="20"/>
      <c r="P41" s="20"/>
      <c r="Q41" s="21"/>
      <c r="R41" s="22">
        <f t="shared" si="3"/>
        <v>150</v>
      </c>
      <c r="S41" s="20">
        <v>1</v>
      </c>
      <c r="T41" s="20"/>
      <c r="U41" s="22"/>
      <c r="V41" s="20" t="str">
        <f t="shared" si="10"/>
        <v>S-300x150x64</v>
      </c>
    </row>
    <row r="42" spans="1:22" s="294" customFormat="1">
      <c r="A42" s="544" t="s">
        <v>2046</v>
      </c>
      <c r="B42" s="2" t="s">
        <v>2165</v>
      </c>
      <c r="C42" s="2">
        <v>300</v>
      </c>
      <c r="D42" s="2">
        <v>150</v>
      </c>
      <c r="E42" s="2">
        <v>32</v>
      </c>
      <c r="F42" s="2">
        <f t="shared" si="5"/>
        <v>32</v>
      </c>
      <c r="G42" s="21">
        <f t="shared" si="6"/>
        <v>1.44</v>
      </c>
      <c r="H42" s="20">
        <f t="shared" si="7"/>
        <v>1.44</v>
      </c>
      <c r="I42" s="20">
        <f t="shared" si="8"/>
        <v>1.44</v>
      </c>
      <c r="J42" s="75">
        <f t="shared" si="9"/>
        <v>0.874</v>
      </c>
      <c r="K42" s="765"/>
      <c r="L42" s="20"/>
      <c r="M42" s="20"/>
      <c r="N42" s="20"/>
      <c r="O42" s="20"/>
      <c r="P42" s="20"/>
      <c r="Q42" s="21"/>
      <c r="R42" s="22">
        <f t="shared" si="3"/>
        <v>150</v>
      </c>
      <c r="S42" s="20">
        <v>1</v>
      </c>
      <c r="T42" s="20"/>
      <c r="U42" s="22"/>
      <c r="V42" s="20" t="str">
        <f t="shared" si="10"/>
        <v>S-300x150x32</v>
      </c>
    </row>
    <row r="43" spans="1:22" s="294" customFormat="1">
      <c r="A43" s="544" t="s">
        <v>493</v>
      </c>
      <c r="B43" s="2" t="s">
        <v>2165</v>
      </c>
      <c r="C43" s="2">
        <v>300</v>
      </c>
      <c r="D43" s="2">
        <v>150</v>
      </c>
      <c r="E43" s="2">
        <v>76</v>
      </c>
      <c r="F43" s="2">
        <f t="shared" si="5"/>
        <v>76</v>
      </c>
      <c r="G43" s="21">
        <f t="shared" si="6"/>
        <v>3.42</v>
      </c>
      <c r="H43" s="20">
        <f t="shared" si="7"/>
        <v>3.42</v>
      </c>
      <c r="I43" s="20">
        <f t="shared" si="8"/>
        <v>3.42</v>
      </c>
      <c r="J43" s="75">
        <f t="shared" si="9"/>
        <v>2.5760000000000001</v>
      </c>
      <c r="K43" s="765"/>
      <c r="L43" s="20"/>
      <c r="M43" s="20"/>
      <c r="N43" s="20"/>
      <c r="O43" s="20"/>
      <c r="P43" s="20"/>
      <c r="Q43" s="21"/>
      <c r="R43" s="22">
        <f t="shared" si="3"/>
        <v>150</v>
      </c>
      <c r="S43" s="20">
        <v>1</v>
      </c>
      <c r="T43" s="20"/>
      <c r="U43" s="22"/>
      <c r="V43" s="20" t="str">
        <f t="shared" si="10"/>
        <v>S-300x150x76</v>
      </c>
    </row>
    <row r="44" spans="1:22" s="294" customFormat="1">
      <c r="A44" s="543" t="s">
        <v>2047</v>
      </c>
      <c r="B44" s="2" t="s">
        <v>2165</v>
      </c>
      <c r="C44" s="2">
        <v>300</v>
      </c>
      <c r="D44" s="2">
        <v>225</v>
      </c>
      <c r="E44" s="2">
        <v>64</v>
      </c>
      <c r="F44" s="2">
        <f t="shared" si="5"/>
        <v>64</v>
      </c>
      <c r="G44" s="21">
        <f t="shared" si="6"/>
        <v>4.32</v>
      </c>
      <c r="H44" s="20">
        <f t="shared" si="7"/>
        <v>4.32</v>
      </c>
      <c r="I44" s="20">
        <f t="shared" si="8"/>
        <v>4.32</v>
      </c>
      <c r="J44" s="75">
        <f t="shared" si="9"/>
        <v>2.774</v>
      </c>
      <c r="K44" s="765"/>
      <c r="L44" s="20"/>
      <c r="M44" s="20"/>
      <c r="N44" s="20"/>
      <c r="O44" s="20"/>
      <c r="P44" s="20"/>
      <c r="Q44" s="21"/>
      <c r="R44" s="22">
        <f t="shared" si="3"/>
        <v>225</v>
      </c>
      <c r="S44" s="20">
        <v>1</v>
      </c>
      <c r="T44" s="20"/>
      <c r="U44" s="22"/>
      <c r="V44" s="20" t="str">
        <f t="shared" si="10"/>
        <v>S-300x225x64</v>
      </c>
    </row>
    <row r="45" spans="1:22" s="294" customFormat="1">
      <c r="A45" s="543" t="s">
        <v>494</v>
      </c>
      <c r="B45" s="2" t="s">
        <v>2165</v>
      </c>
      <c r="C45" s="2">
        <v>300</v>
      </c>
      <c r="D45" s="2">
        <v>225</v>
      </c>
      <c r="E45" s="2">
        <v>76</v>
      </c>
      <c r="F45" s="2">
        <f t="shared" si="5"/>
        <v>76</v>
      </c>
      <c r="G45" s="21">
        <f t="shared" si="6"/>
        <v>5.13</v>
      </c>
      <c r="H45" s="20">
        <f t="shared" si="7"/>
        <v>5.13</v>
      </c>
      <c r="I45" s="20">
        <f t="shared" si="8"/>
        <v>5.13</v>
      </c>
      <c r="J45" s="75">
        <f t="shared" si="9"/>
        <v>3.431</v>
      </c>
      <c r="K45" s="765"/>
      <c r="L45" s="20"/>
      <c r="M45" s="20"/>
      <c r="N45" s="20"/>
      <c r="O45" s="20"/>
      <c r="P45" s="20"/>
      <c r="Q45" s="21"/>
      <c r="R45" s="22">
        <f t="shared" si="3"/>
        <v>225</v>
      </c>
      <c r="S45" s="20">
        <v>1</v>
      </c>
      <c r="T45" s="20"/>
      <c r="U45" s="22"/>
      <c r="V45" s="20" t="str">
        <f t="shared" si="10"/>
        <v>S-300x225x76</v>
      </c>
    </row>
    <row r="46" spans="1:22" s="294" customFormat="1">
      <c r="A46" s="543" t="s">
        <v>2048</v>
      </c>
      <c r="B46" s="2" t="s">
        <v>2165</v>
      </c>
      <c r="C46" s="2">
        <v>300</v>
      </c>
      <c r="D46" s="2">
        <v>300</v>
      </c>
      <c r="E46" s="2">
        <v>64</v>
      </c>
      <c r="F46" s="2">
        <f t="shared" si="5"/>
        <v>64</v>
      </c>
      <c r="G46" s="21">
        <f t="shared" si="6"/>
        <v>5.76</v>
      </c>
      <c r="H46" s="20">
        <f t="shared" si="7"/>
        <v>5.76</v>
      </c>
      <c r="I46" s="20">
        <f t="shared" si="8"/>
        <v>5.76</v>
      </c>
      <c r="J46" s="75">
        <f t="shared" si="9"/>
        <v>3.4940000000000002</v>
      </c>
      <c r="K46" s="765"/>
      <c r="L46" s="20"/>
      <c r="M46" s="20"/>
      <c r="N46" s="20"/>
      <c r="O46" s="20"/>
      <c r="P46" s="20"/>
      <c r="Q46" s="21"/>
      <c r="R46" s="22">
        <f t="shared" si="3"/>
        <v>300</v>
      </c>
      <c r="S46" s="20">
        <v>1</v>
      </c>
      <c r="T46" s="20"/>
      <c r="U46" s="22"/>
      <c r="V46" s="20" t="str">
        <f t="shared" si="10"/>
        <v>S-300x300x64</v>
      </c>
    </row>
    <row r="47" spans="1:22" s="294" customFormat="1">
      <c r="A47" s="543" t="s">
        <v>495</v>
      </c>
      <c r="B47" s="2" t="s">
        <v>2165</v>
      </c>
      <c r="C47" s="2">
        <v>300</v>
      </c>
      <c r="D47" s="2">
        <v>300</v>
      </c>
      <c r="E47" s="2">
        <v>76</v>
      </c>
      <c r="F47" s="2">
        <f t="shared" si="5"/>
        <v>76</v>
      </c>
      <c r="G47" s="21">
        <f t="shared" si="6"/>
        <v>6.84</v>
      </c>
      <c r="H47" s="20">
        <f t="shared" si="7"/>
        <v>6.84</v>
      </c>
      <c r="I47" s="20">
        <f t="shared" si="8"/>
        <v>6.84</v>
      </c>
      <c r="J47" s="75">
        <f t="shared" si="9"/>
        <v>4.2859999999999996</v>
      </c>
      <c r="K47" s="765"/>
      <c r="L47" s="20"/>
      <c r="M47" s="20"/>
      <c r="N47" s="20"/>
      <c r="O47" s="20"/>
      <c r="P47" s="20"/>
      <c r="Q47" s="21"/>
      <c r="R47" s="22">
        <f t="shared" si="3"/>
        <v>300</v>
      </c>
      <c r="S47" s="20">
        <v>1</v>
      </c>
      <c r="T47" s="20"/>
      <c r="U47" s="22"/>
      <c r="V47" s="20" t="str">
        <f t="shared" si="10"/>
        <v>S-300x300x76</v>
      </c>
    </row>
    <row r="48" spans="1:22" s="294" customFormat="1">
      <c r="A48" s="543" t="s">
        <v>2049</v>
      </c>
      <c r="B48" s="2" t="s">
        <v>2165</v>
      </c>
      <c r="C48" s="2">
        <v>450</v>
      </c>
      <c r="D48" s="2">
        <v>150</v>
      </c>
      <c r="E48" s="2">
        <v>64</v>
      </c>
      <c r="F48" s="2">
        <f t="shared" si="5"/>
        <v>64</v>
      </c>
      <c r="G48" s="21">
        <f t="shared" si="6"/>
        <v>4.32</v>
      </c>
      <c r="H48" s="20">
        <f t="shared" si="7"/>
        <v>4.32</v>
      </c>
      <c r="I48" s="20">
        <f t="shared" si="8"/>
        <v>4.32</v>
      </c>
      <c r="J48" s="75">
        <f t="shared" si="9"/>
        <v>3.0819999999999999</v>
      </c>
      <c r="K48" s="765"/>
      <c r="L48" s="20"/>
      <c r="M48" s="20"/>
      <c r="N48" s="20"/>
      <c r="O48" s="20"/>
      <c r="P48" s="20"/>
      <c r="Q48" s="21"/>
      <c r="R48" s="22">
        <f t="shared" si="3"/>
        <v>150</v>
      </c>
      <c r="S48" s="20">
        <v>1</v>
      </c>
      <c r="T48" s="20"/>
      <c r="U48" s="22"/>
      <c r="V48" s="20" t="str">
        <f t="shared" si="10"/>
        <v>S-450x150x64</v>
      </c>
    </row>
    <row r="49" spans="1:22" s="294" customFormat="1">
      <c r="A49" s="543" t="s">
        <v>2050</v>
      </c>
      <c r="B49" s="2" t="s">
        <v>2165</v>
      </c>
      <c r="C49" s="2">
        <v>450</v>
      </c>
      <c r="D49" s="2">
        <v>150</v>
      </c>
      <c r="E49" s="2">
        <v>76</v>
      </c>
      <c r="F49" s="2">
        <f t="shared" si="5"/>
        <v>76</v>
      </c>
      <c r="G49" s="21">
        <f t="shared" si="6"/>
        <v>5.13</v>
      </c>
      <c r="H49" s="20">
        <f t="shared" si="7"/>
        <v>5.13</v>
      </c>
      <c r="I49" s="20">
        <f t="shared" si="8"/>
        <v>5.13</v>
      </c>
      <c r="J49" s="75">
        <f t="shared" si="9"/>
        <v>3.8650000000000002</v>
      </c>
      <c r="K49" s="765"/>
      <c r="L49" s="20"/>
      <c r="M49" s="20"/>
      <c r="N49" s="20"/>
      <c r="O49" s="20"/>
      <c r="P49" s="20"/>
      <c r="Q49" s="21"/>
      <c r="R49" s="22">
        <f t="shared" si="3"/>
        <v>150</v>
      </c>
      <c r="S49" s="20">
        <v>1</v>
      </c>
      <c r="T49" s="20"/>
      <c r="U49" s="22"/>
      <c r="V49" s="20" t="str">
        <f t="shared" si="10"/>
        <v>S-450x150x76</v>
      </c>
    </row>
    <row r="50" spans="1:22" s="294" customFormat="1">
      <c r="A50" s="543" t="s">
        <v>499</v>
      </c>
      <c r="B50" s="2" t="s">
        <v>2165</v>
      </c>
      <c r="C50" s="2">
        <v>450</v>
      </c>
      <c r="D50" s="2">
        <v>225</v>
      </c>
      <c r="E50" s="2">
        <v>76</v>
      </c>
      <c r="F50" s="2">
        <f t="shared" si="5"/>
        <v>76</v>
      </c>
      <c r="G50" s="21">
        <f t="shared" si="6"/>
        <v>7.6950000000000003</v>
      </c>
      <c r="H50" s="20">
        <f t="shared" si="7"/>
        <v>7.6950000000000003</v>
      </c>
      <c r="I50" s="20">
        <f t="shared" si="8"/>
        <v>7.6950000000000003</v>
      </c>
      <c r="J50" s="75">
        <f t="shared" si="9"/>
        <v>5.1470000000000002</v>
      </c>
      <c r="K50" s="765"/>
      <c r="L50" s="20"/>
      <c r="M50" s="20"/>
      <c r="N50" s="20"/>
      <c r="O50" s="20"/>
      <c r="P50" s="20"/>
      <c r="Q50" s="21"/>
      <c r="R50" s="22">
        <f t="shared" si="3"/>
        <v>225</v>
      </c>
      <c r="S50" s="20">
        <v>1</v>
      </c>
      <c r="T50" s="20"/>
      <c r="U50" s="22"/>
      <c r="V50" s="20" t="str">
        <f t="shared" si="10"/>
        <v>S-450x225x76</v>
      </c>
    </row>
    <row r="51" spans="1:22" s="294" customFormat="1">
      <c r="A51" s="293" t="s">
        <v>542</v>
      </c>
      <c r="B51" s="2" t="s">
        <v>2165</v>
      </c>
      <c r="C51" s="2">
        <v>250</v>
      </c>
      <c r="D51" s="2">
        <v>155</v>
      </c>
      <c r="E51" s="2">
        <v>100</v>
      </c>
      <c r="F51" s="2">
        <f t="shared" si="5"/>
        <v>100</v>
      </c>
      <c r="G51" s="21">
        <f t="shared" si="6"/>
        <v>3.875</v>
      </c>
      <c r="H51" s="20">
        <f t="shared" si="7"/>
        <v>3.875</v>
      </c>
      <c r="I51" s="20">
        <f t="shared" si="8"/>
        <v>3.875</v>
      </c>
      <c r="J51" s="75">
        <f t="shared" si="9"/>
        <v>3.1880000000000002</v>
      </c>
      <c r="K51" s="765"/>
      <c r="L51" s="20"/>
      <c r="M51" s="20"/>
      <c r="N51" s="20"/>
      <c r="O51" s="20"/>
      <c r="P51" s="20"/>
      <c r="Q51" s="21"/>
      <c r="R51" s="22">
        <f t="shared" si="3"/>
        <v>155</v>
      </c>
      <c r="S51" s="20">
        <v>1</v>
      </c>
      <c r="T51" s="20"/>
      <c r="U51" s="22"/>
      <c r="V51" s="20" t="str">
        <f t="shared" si="10"/>
        <v>S-250x155x100</v>
      </c>
    </row>
    <row r="52" spans="1:22" s="294" customFormat="1">
      <c r="A52" s="293" t="s">
        <v>543</v>
      </c>
      <c r="B52" s="2" t="s">
        <v>2165</v>
      </c>
      <c r="C52" s="2">
        <v>250</v>
      </c>
      <c r="D52" s="2">
        <v>187</v>
      </c>
      <c r="E52" s="2">
        <v>100</v>
      </c>
      <c r="F52" s="2">
        <f t="shared" si="5"/>
        <v>100</v>
      </c>
      <c r="G52" s="21">
        <f t="shared" si="6"/>
        <v>4.6749999999999998</v>
      </c>
      <c r="H52" s="20">
        <f t="shared" si="7"/>
        <v>4.6749999999999998</v>
      </c>
      <c r="I52" s="20">
        <f t="shared" si="8"/>
        <v>4.6749999999999998</v>
      </c>
      <c r="J52" s="75">
        <f t="shared" si="9"/>
        <v>3.5880000000000001</v>
      </c>
      <c r="K52" s="765"/>
      <c r="L52" s="20"/>
      <c r="M52" s="20"/>
      <c r="N52" s="20"/>
      <c r="O52" s="20"/>
      <c r="P52" s="20"/>
      <c r="Q52" s="21"/>
      <c r="R52" s="22">
        <f t="shared" si="3"/>
        <v>187</v>
      </c>
      <c r="S52" s="20">
        <v>1</v>
      </c>
      <c r="T52" s="20"/>
      <c r="U52" s="22"/>
      <c r="V52" s="20" t="str">
        <f t="shared" si="10"/>
        <v>S-250x187x100</v>
      </c>
    </row>
    <row r="53" spans="1:22" s="294" customFormat="1">
      <c r="A53" s="293" t="s">
        <v>544</v>
      </c>
      <c r="B53" s="2" t="s">
        <v>2165</v>
      </c>
      <c r="C53" s="2">
        <v>250</v>
      </c>
      <c r="D53" s="2">
        <v>220</v>
      </c>
      <c r="E53" s="2">
        <v>100</v>
      </c>
      <c r="F53" s="2">
        <f t="shared" si="5"/>
        <v>100</v>
      </c>
      <c r="G53" s="21">
        <f t="shared" si="6"/>
        <v>5.5</v>
      </c>
      <c r="H53" s="20">
        <f t="shared" si="7"/>
        <v>5.5</v>
      </c>
      <c r="I53" s="20">
        <f t="shared" si="8"/>
        <v>5.5</v>
      </c>
      <c r="J53" s="75">
        <f t="shared" si="9"/>
        <v>4</v>
      </c>
      <c r="K53" s="765"/>
      <c r="L53" s="20"/>
      <c r="M53" s="20"/>
      <c r="N53" s="20"/>
      <c r="O53" s="20"/>
      <c r="P53" s="20"/>
      <c r="Q53" s="21"/>
      <c r="R53" s="22">
        <f t="shared" si="3"/>
        <v>220</v>
      </c>
      <c r="S53" s="20">
        <v>1</v>
      </c>
      <c r="T53" s="20"/>
      <c r="U53" s="22"/>
      <c r="V53" s="20" t="str">
        <f t="shared" si="10"/>
        <v>S-250x220x100</v>
      </c>
    </row>
    <row r="54" spans="1:22" s="294" customFormat="1">
      <c r="A54" s="293" t="s">
        <v>545</v>
      </c>
      <c r="B54" s="2" t="s">
        <v>2165</v>
      </c>
      <c r="C54" s="2">
        <v>500</v>
      </c>
      <c r="D54" s="2">
        <v>250</v>
      </c>
      <c r="E54" s="2">
        <v>64</v>
      </c>
      <c r="F54" s="2">
        <f t="shared" si="5"/>
        <v>64</v>
      </c>
      <c r="G54" s="21">
        <f t="shared" si="6"/>
        <v>8</v>
      </c>
      <c r="H54" s="20">
        <f t="shared" si="7"/>
        <v>8</v>
      </c>
      <c r="I54" s="20">
        <f t="shared" si="8"/>
        <v>8</v>
      </c>
      <c r="J54" s="75">
        <f t="shared" si="9"/>
        <v>5.024</v>
      </c>
      <c r="K54" s="765"/>
      <c r="L54" s="20"/>
      <c r="M54" s="20"/>
      <c r="N54" s="20"/>
      <c r="O54" s="20"/>
      <c r="P54" s="20"/>
      <c r="Q54" s="21"/>
      <c r="R54" s="22">
        <f t="shared" si="3"/>
        <v>250</v>
      </c>
      <c r="S54" s="20">
        <v>1</v>
      </c>
      <c r="T54" s="20"/>
      <c r="U54" s="22"/>
      <c r="V54" s="20" t="str">
        <f t="shared" si="10"/>
        <v>S-500x250x64</v>
      </c>
    </row>
    <row r="55" spans="1:22" s="294" customFormat="1">
      <c r="A55" s="293" t="s">
        <v>546</v>
      </c>
      <c r="B55" s="2" t="s">
        <v>2165</v>
      </c>
      <c r="C55" s="2">
        <v>375</v>
      </c>
      <c r="D55" s="2">
        <v>250</v>
      </c>
      <c r="E55" s="2">
        <v>64</v>
      </c>
      <c r="F55" s="2">
        <f t="shared" si="5"/>
        <v>64</v>
      </c>
      <c r="G55" s="21">
        <f t="shared" si="6"/>
        <v>6</v>
      </c>
      <c r="H55" s="20">
        <f t="shared" si="7"/>
        <v>6</v>
      </c>
      <c r="I55" s="20">
        <f t="shared" si="8"/>
        <v>6</v>
      </c>
      <c r="J55" s="75">
        <f t="shared" si="9"/>
        <v>3.7679999999999998</v>
      </c>
      <c r="K55" s="765"/>
      <c r="L55" s="20"/>
      <c r="M55" s="20"/>
      <c r="N55" s="20"/>
      <c r="O55" s="20"/>
      <c r="P55" s="20"/>
      <c r="Q55" s="21"/>
      <c r="R55" s="22">
        <f t="shared" si="3"/>
        <v>250</v>
      </c>
      <c r="S55" s="20">
        <v>1</v>
      </c>
      <c r="T55" s="20"/>
      <c r="U55" s="22"/>
      <c r="V55" s="20" t="str">
        <f t="shared" si="10"/>
        <v>S-375x250x64</v>
      </c>
    </row>
    <row r="56" spans="1:22" s="294" customFormat="1">
      <c r="A56" s="293" t="s">
        <v>547</v>
      </c>
      <c r="B56" s="2" t="s">
        <v>2165</v>
      </c>
      <c r="C56" s="2">
        <v>500</v>
      </c>
      <c r="D56" s="2">
        <v>375</v>
      </c>
      <c r="E56" s="2">
        <v>64</v>
      </c>
      <c r="F56" s="2">
        <f t="shared" si="5"/>
        <v>64</v>
      </c>
      <c r="G56" s="21">
        <f t="shared" si="6"/>
        <v>12</v>
      </c>
      <c r="H56" s="20">
        <f t="shared" si="7"/>
        <v>12</v>
      </c>
      <c r="I56" s="20">
        <f t="shared" si="8"/>
        <v>12</v>
      </c>
      <c r="J56" s="75">
        <f t="shared" si="9"/>
        <v>7.024</v>
      </c>
      <c r="K56" s="765"/>
      <c r="L56" s="20"/>
      <c r="M56" s="20"/>
      <c r="N56" s="20"/>
      <c r="O56" s="20"/>
      <c r="P56" s="20"/>
      <c r="Q56" s="21"/>
      <c r="R56" s="22">
        <f t="shared" si="3"/>
        <v>375</v>
      </c>
      <c r="S56" s="20">
        <v>1</v>
      </c>
      <c r="T56" s="20"/>
      <c r="U56" s="22"/>
      <c r="V56" s="20" t="str">
        <f t="shared" si="10"/>
        <v>S-500x375x64</v>
      </c>
    </row>
    <row r="57" spans="1:22" s="294" customFormat="1">
      <c r="A57" s="293" t="s">
        <v>2051</v>
      </c>
      <c r="B57" s="2" t="s">
        <v>2165</v>
      </c>
      <c r="C57" s="2">
        <v>500</v>
      </c>
      <c r="D57" s="2">
        <v>500</v>
      </c>
      <c r="E57" s="2">
        <v>64</v>
      </c>
      <c r="F57" s="2">
        <f t="shared" si="5"/>
        <v>64</v>
      </c>
      <c r="G57" s="21">
        <f t="shared" si="6"/>
        <v>16</v>
      </c>
      <c r="H57" s="20">
        <f t="shared" si="7"/>
        <v>16</v>
      </c>
      <c r="I57" s="20">
        <f t="shared" si="8"/>
        <v>16</v>
      </c>
      <c r="J57" s="75">
        <f t="shared" si="9"/>
        <v>9.0239999999999991</v>
      </c>
      <c r="K57" s="765"/>
      <c r="L57" s="20"/>
      <c r="M57" s="20"/>
      <c r="N57" s="20"/>
      <c r="O57" s="20"/>
      <c r="P57" s="20"/>
      <c r="Q57" s="21"/>
      <c r="R57" s="22">
        <f t="shared" si="3"/>
        <v>500</v>
      </c>
      <c r="S57" s="20">
        <v>1</v>
      </c>
      <c r="T57" s="20"/>
      <c r="U57" s="22"/>
      <c r="V57" s="20" t="str">
        <f t="shared" si="10"/>
        <v>S-500x500x64</v>
      </c>
    </row>
    <row r="58" spans="1:22" s="294" customFormat="1">
      <c r="A58" s="293" t="s">
        <v>548</v>
      </c>
      <c r="B58" s="2" t="s">
        <v>2165</v>
      </c>
      <c r="C58" s="2">
        <v>500</v>
      </c>
      <c r="D58" s="2">
        <v>375</v>
      </c>
      <c r="E58" s="2">
        <v>100</v>
      </c>
      <c r="F58" s="2">
        <f t="shared" si="5"/>
        <v>100</v>
      </c>
      <c r="G58" s="21">
        <f t="shared" si="6"/>
        <v>18.75</v>
      </c>
      <c r="H58" s="20">
        <f t="shared" si="7"/>
        <v>18.75</v>
      </c>
      <c r="I58" s="20">
        <f t="shared" si="8"/>
        <v>18.75</v>
      </c>
      <c r="J58" s="75">
        <f t="shared" si="9"/>
        <v>11.875</v>
      </c>
      <c r="K58" s="765"/>
      <c r="L58" s="20"/>
      <c r="M58" s="20"/>
      <c r="N58" s="20"/>
      <c r="O58" s="20"/>
      <c r="P58" s="20"/>
      <c r="Q58" s="21"/>
      <c r="R58" s="22">
        <f t="shared" si="3"/>
        <v>375</v>
      </c>
      <c r="S58" s="20">
        <v>1</v>
      </c>
      <c r="T58" s="20"/>
      <c r="U58" s="22"/>
      <c r="V58" s="20" t="str">
        <f t="shared" si="10"/>
        <v>S-500x375x100</v>
      </c>
    </row>
    <row r="59" spans="1:22" s="294" customFormat="1">
      <c r="A59" s="293" t="s">
        <v>978</v>
      </c>
      <c r="B59" s="2" t="s">
        <v>2165</v>
      </c>
      <c r="C59" s="2">
        <v>500</v>
      </c>
      <c r="D59" s="2">
        <v>500</v>
      </c>
      <c r="E59" s="2">
        <v>100</v>
      </c>
      <c r="F59" s="2">
        <f t="shared" si="5"/>
        <v>100</v>
      </c>
      <c r="G59" s="21">
        <f t="shared" si="6"/>
        <v>25</v>
      </c>
      <c r="H59" s="20">
        <f t="shared" si="7"/>
        <v>25</v>
      </c>
      <c r="I59" s="20">
        <f t="shared" si="8"/>
        <v>25</v>
      </c>
      <c r="J59" s="75">
        <f t="shared" si="9"/>
        <v>15</v>
      </c>
      <c r="K59" s="765"/>
      <c r="L59" s="20"/>
      <c r="M59" s="20"/>
      <c r="N59" s="20"/>
      <c r="O59" s="20"/>
      <c r="P59" s="20"/>
      <c r="Q59" s="21"/>
      <c r="R59" s="22">
        <f t="shared" si="3"/>
        <v>500</v>
      </c>
      <c r="S59" s="20">
        <v>1</v>
      </c>
      <c r="T59" s="20"/>
      <c r="U59" s="22"/>
      <c r="V59" s="20" t="str">
        <f t="shared" si="10"/>
        <v>S-500x500x100</v>
      </c>
    </row>
    <row r="60" spans="1:22" s="294" customFormat="1">
      <c r="A60" s="293" t="s">
        <v>549</v>
      </c>
      <c r="B60" s="2" t="s">
        <v>2165</v>
      </c>
      <c r="C60" s="2">
        <v>250</v>
      </c>
      <c r="D60" s="2">
        <v>200</v>
      </c>
      <c r="E60" s="2">
        <v>100</v>
      </c>
      <c r="F60" s="2">
        <f t="shared" si="5"/>
        <v>100</v>
      </c>
      <c r="G60" s="21">
        <f t="shared" si="6"/>
        <v>5</v>
      </c>
      <c r="H60" s="20">
        <f t="shared" si="7"/>
        <v>5</v>
      </c>
      <c r="I60" s="20">
        <f t="shared" si="8"/>
        <v>5</v>
      </c>
      <c r="J60" s="75">
        <f t="shared" si="9"/>
        <v>3.75</v>
      </c>
      <c r="K60" s="765"/>
      <c r="L60" s="20"/>
      <c r="M60" s="20"/>
      <c r="N60" s="20"/>
      <c r="O60" s="20"/>
      <c r="P60" s="20"/>
      <c r="Q60" s="21"/>
      <c r="R60" s="22">
        <f t="shared" si="3"/>
        <v>200</v>
      </c>
      <c r="S60" s="20">
        <v>1</v>
      </c>
      <c r="T60" s="20"/>
      <c r="U60" s="22"/>
      <c r="V60" s="20" t="str">
        <f t="shared" si="10"/>
        <v>S-250x200x100</v>
      </c>
    </row>
    <row r="61" spans="1:22" s="294" customFormat="1">
      <c r="A61" s="293" t="s">
        <v>550</v>
      </c>
      <c r="B61" s="2" t="s">
        <v>2165</v>
      </c>
      <c r="C61" s="2">
        <v>375</v>
      </c>
      <c r="D61" s="2">
        <v>250</v>
      </c>
      <c r="E61" s="2">
        <v>130</v>
      </c>
      <c r="F61" s="2">
        <f t="shared" si="5"/>
        <v>130</v>
      </c>
      <c r="G61" s="21">
        <f t="shared" si="6"/>
        <v>12.1875</v>
      </c>
      <c r="H61" s="20">
        <f>ROUND(C61*D61*E61/10^6,3)</f>
        <v>12.188000000000001</v>
      </c>
      <c r="I61" s="20">
        <f>IF(F61="","-",ROUND((E61+F61)*C61/2*D61/10^6,3))</f>
        <v>12.188000000000001</v>
      </c>
      <c r="J61" s="75">
        <f>IF(F61="","-",ROUND((D61+E61)*C61/2*F61/10^6,3))</f>
        <v>9.2629999999999999</v>
      </c>
      <c r="K61" s="765"/>
      <c r="L61" s="20"/>
      <c r="M61" s="20"/>
      <c r="N61" s="20"/>
      <c r="O61" s="20"/>
      <c r="P61" s="20"/>
      <c r="Q61" s="21"/>
      <c r="R61" s="22">
        <f>D61</f>
        <v>250</v>
      </c>
      <c r="S61" s="20">
        <v>1</v>
      </c>
      <c r="T61" s="20"/>
      <c r="U61" s="22"/>
      <c r="V61" s="20" t="str">
        <f>B61&amp;"-"&amp;C61&amp;"x"&amp;D61&amp;"x"&amp;E61</f>
        <v>S-375x250x130</v>
      </c>
    </row>
    <row r="62" spans="1:22" s="294" customFormat="1">
      <c r="A62" s="542" t="s">
        <v>551</v>
      </c>
      <c r="B62" s="2" t="s">
        <v>2165</v>
      </c>
      <c r="C62" s="2">
        <v>230</v>
      </c>
      <c r="D62" s="2">
        <v>150</v>
      </c>
      <c r="E62" s="2">
        <v>76</v>
      </c>
      <c r="F62" s="2">
        <f t="shared" si="5"/>
        <v>76</v>
      </c>
      <c r="G62" s="21">
        <f t="shared" si="6"/>
        <v>2.6219999999999999</v>
      </c>
      <c r="H62" s="20">
        <f t="shared" si="7"/>
        <v>2.6219999999999999</v>
      </c>
      <c r="I62" s="20">
        <f t="shared" si="8"/>
        <v>2.6219999999999999</v>
      </c>
      <c r="J62" s="75">
        <f t="shared" si="9"/>
        <v>1.9750000000000001</v>
      </c>
      <c r="K62" s="765"/>
      <c r="L62" s="20"/>
      <c r="M62" s="20"/>
      <c r="N62" s="20"/>
      <c r="O62" s="20"/>
      <c r="P62" s="20"/>
      <c r="Q62" s="21"/>
      <c r="R62" s="22">
        <f t="shared" si="3"/>
        <v>150</v>
      </c>
      <c r="S62" s="20">
        <v>1</v>
      </c>
      <c r="T62" s="20"/>
      <c r="U62" s="22"/>
      <c r="V62" s="20" t="str">
        <f t="shared" si="10"/>
        <v>S-230x150x76</v>
      </c>
    </row>
    <row r="63" spans="1:22" s="294" customFormat="1">
      <c r="A63" s="542" t="s">
        <v>552</v>
      </c>
      <c r="B63" s="2" t="s">
        <v>2165</v>
      </c>
      <c r="C63" s="2">
        <v>230</v>
      </c>
      <c r="D63" s="2">
        <v>150</v>
      </c>
      <c r="E63" s="2">
        <v>100</v>
      </c>
      <c r="F63" s="2">
        <f t="shared" si="5"/>
        <v>100</v>
      </c>
      <c r="G63" s="21">
        <f t="shared" si="6"/>
        <v>3.45</v>
      </c>
      <c r="H63" s="20">
        <f t="shared" si="7"/>
        <v>3.45</v>
      </c>
      <c r="I63" s="20">
        <f t="shared" si="8"/>
        <v>3.45</v>
      </c>
      <c r="J63" s="75">
        <f t="shared" si="9"/>
        <v>2.875</v>
      </c>
      <c r="K63" s="765"/>
      <c r="L63" s="20"/>
      <c r="M63" s="20"/>
      <c r="N63" s="20"/>
      <c r="O63" s="20"/>
      <c r="P63" s="20"/>
      <c r="Q63" s="21"/>
      <c r="R63" s="22">
        <f t="shared" si="3"/>
        <v>150</v>
      </c>
      <c r="S63" s="20">
        <v>1</v>
      </c>
      <c r="T63" s="20"/>
      <c r="U63" s="22"/>
      <c r="V63" s="20" t="str">
        <f t="shared" si="10"/>
        <v>S-230x150x100</v>
      </c>
    </row>
    <row r="64" spans="1:22" s="294" customFormat="1">
      <c r="A64" s="293" t="s">
        <v>553</v>
      </c>
      <c r="B64" s="2" t="s">
        <v>2165</v>
      </c>
      <c r="C64" s="2">
        <v>350</v>
      </c>
      <c r="D64" s="2">
        <v>225</v>
      </c>
      <c r="E64" s="2">
        <v>100</v>
      </c>
      <c r="F64" s="2">
        <f t="shared" si="5"/>
        <v>100</v>
      </c>
      <c r="G64" s="21">
        <f t="shared" si="6"/>
        <v>7.875</v>
      </c>
      <c r="H64" s="20">
        <f t="shared" si="7"/>
        <v>7.875</v>
      </c>
      <c r="I64" s="20">
        <f t="shared" si="8"/>
        <v>7.875</v>
      </c>
      <c r="J64" s="75">
        <f t="shared" si="9"/>
        <v>5.6879999999999997</v>
      </c>
      <c r="K64" s="765"/>
      <c r="L64" s="20"/>
      <c r="M64" s="20"/>
      <c r="N64" s="20"/>
      <c r="O64" s="20"/>
      <c r="P64" s="20"/>
      <c r="Q64" s="21"/>
      <c r="R64" s="22">
        <f t="shared" si="3"/>
        <v>225</v>
      </c>
      <c r="S64" s="20">
        <v>1</v>
      </c>
      <c r="T64" s="20"/>
      <c r="U64" s="22"/>
      <c r="V64" s="20" t="str">
        <f t="shared" si="10"/>
        <v>S-350x225x100</v>
      </c>
    </row>
    <row r="65" spans="1:22" s="294" customFormat="1">
      <c r="A65" s="293" t="s">
        <v>554</v>
      </c>
      <c r="B65" s="2" t="s">
        <v>2165</v>
      </c>
      <c r="C65" s="2">
        <v>300</v>
      </c>
      <c r="D65" s="2">
        <v>250</v>
      </c>
      <c r="E65" s="2">
        <v>100</v>
      </c>
      <c r="F65" s="2">
        <f>E65</f>
        <v>100</v>
      </c>
      <c r="G65" s="21">
        <f t="shared" si="6"/>
        <v>7.5</v>
      </c>
      <c r="H65" s="20">
        <f>ROUND(C65*D65*E65/10^6,3)</f>
        <v>7.5</v>
      </c>
      <c r="I65" s="20">
        <f>IF(F65="","-",ROUND((E65+F65)*C65/2*D65/10^6,3))</f>
        <v>7.5</v>
      </c>
      <c r="J65" s="75">
        <f>IF(F65="","-",ROUND((D65+E65)*C65/2*F65/10^6,3))</f>
        <v>5.25</v>
      </c>
      <c r="K65" s="765"/>
      <c r="L65" s="20"/>
      <c r="M65" s="20"/>
      <c r="N65" s="20"/>
      <c r="O65" s="20"/>
      <c r="P65" s="20"/>
      <c r="Q65" s="21"/>
      <c r="R65" s="22">
        <f>D65</f>
        <v>250</v>
      </c>
      <c r="S65" s="20">
        <v>1</v>
      </c>
      <c r="T65" s="20"/>
      <c r="U65" s="22"/>
      <c r="V65" s="20" t="str">
        <f>B65&amp;"-"&amp;C65&amp;"x"&amp;D65&amp;"x"&amp;E65</f>
        <v>S-300x250x100</v>
      </c>
    </row>
    <row r="66" spans="1:22" s="294" customFormat="1" ht="13.8" thickBot="1">
      <c r="A66" s="293" t="s">
        <v>555</v>
      </c>
      <c r="B66" s="2" t="s">
        <v>2165</v>
      </c>
      <c r="C66" s="2">
        <v>300</v>
      </c>
      <c r="D66" s="2">
        <v>250</v>
      </c>
      <c r="E66" s="2">
        <v>130</v>
      </c>
      <c r="F66" s="2">
        <f>E66</f>
        <v>130</v>
      </c>
      <c r="G66" s="21">
        <f t="shared" si="6"/>
        <v>9.75</v>
      </c>
      <c r="H66" s="20">
        <f>ROUND(C66*D66*E66/10^6,3)</f>
        <v>9.75</v>
      </c>
      <c r="I66" s="20">
        <f>IF(F66="","-",ROUND((E66+F66)*C66/2*D66/10^6,3))</f>
        <v>9.75</v>
      </c>
      <c r="J66" s="75">
        <f>IF(F66="","-",ROUND((D66+E66)*C66/2*F66/10^6,3))</f>
        <v>7.41</v>
      </c>
      <c r="K66" s="765"/>
      <c r="L66" s="20"/>
      <c r="M66" s="20"/>
      <c r="N66" s="20"/>
      <c r="O66" s="20"/>
      <c r="P66" s="20"/>
      <c r="Q66" s="21"/>
      <c r="R66" s="22">
        <f>D66</f>
        <v>250</v>
      </c>
      <c r="S66" s="20">
        <v>1</v>
      </c>
      <c r="T66" s="20"/>
      <c r="U66" s="22"/>
      <c r="V66" s="20" t="str">
        <f>B66&amp;"-"&amp;C66&amp;"x"&amp;D66&amp;"x"&amp;E66</f>
        <v>S-300x250x130</v>
      </c>
    </row>
    <row r="67" spans="1:22" s="63" customFormat="1" ht="25.2" thickBot="1">
      <c r="A67" s="64" t="s">
        <v>600</v>
      </c>
      <c r="B67" s="65"/>
      <c r="C67" s="65"/>
      <c r="D67" s="65"/>
      <c r="E67" s="65"/>
      <c r="F67" s="65"/>
      <c r="G67" s="101"/>
      <c r="H67" s="65"/>
      <c r="I67" s="65"/>
      <c r="J67" s="66"/>
      <c r="K67" s="949"/>
      <c r="L67" s="60"/>
      <c r="M67" s="60"/>
      <c r="N67" s="60"/>
      <c r="O67" s="60"/>
      <c r="P67" s="60"/>
      <c r="Q67" s="61"/>
      <c r="R67" s="62"/>
      <c r="S67" s="60"/>
      <c r="T67" s="60"/>
      <c r="U67" s="62"/>
      <c r="V67" s="60"/>
    </row>
    <row r="68" spans="1:22" s="294" customFormat="1">
      <c r="A68" s="2" t="s">
        <v>556</v>
      </c>
      <c r="B68" s="2" t="s">
        <v>2166</v>
      </c>
      <c r="C68" s="2">
        <v>230</v>
      </c>
      <c r="D68" s="2">
        <v>114</v>
      </c>
      <c r="E68" s="2">
        <v>66</v>
      </c>
      <c r="F68" s="2">
        <v>62</v>
      </c>
      <c r="G68" s="21">
        <f t="shared" si="6"/>
        <v>1.67808</v>
      </c>
      <c r="H68" s="20">
        <f t="shared" ref="H68:H124" si="11">ROUND(C68*D68*E68/10^6,3)</f>
        <v>1.7310000000000001</v>
      </c>
      <c r="I68" s="20">
        <f t="shared" ref="I68:I124" si="12">IF(F68="","-",ROUND((E68+F68)*C68/2*D68/10^6,3))</f>
        <v>1.6779999999999999</v>
      </c>
      <c r="J68" s="75">
        <f t="shared" ref="J68:J124" si="13">IF(F68="","-",ROUND((D68+E68)*C68/2*F68/10^6,3))</f>
        <v>1.2829999999999999</v>
      </c>
      <c r="K68" s="765" t="s">
        <v>2408</v>
      </c>
      <c r="L68" s="20"/>
      <c r="M68" s="20"/>
      <c r="N68" s="20"/>
      <c r="O68" s="20"/>
      <c r="P68" s="20"/>
      <c r="Q68" s="21"/>
      <c r="R68" s="22">
        <f t="shared" ref="R68:R124" si="14">D68</f>
        <v>114</v>
      </c>
      <c r="S68" s="20">
        <v>1</v>
      </c>
      <c r="T68" s="20"/>
      <c r="U68" s="22"/>
      <c r="V68" s="20"/>
    </row>
    <row r="69" spans="1:22" s="294" customFormat="1">
      <c r="A69" s="2" t="s">
        <v>2052</v>
      </c>
      <c r="B69" s="2" t="s">
        <v>2166</v>
      </c>
      <c r="C69" s="2">
        <v>230</v>
      </c>
      <c r="D69" s="2">
        <v>114</v>
      </c>
      <c r="E69" s="2">
        <v>78</v>
      </c>
      <c r="F69" s="2">
        <v>74</v>
      </c>
      <c r="G69" s="21">
        <f t="shared" si="6"/>
        <v>1.99272</v>
      </c>
      <c r="H69" s="20">
        <f t="shared" si="11"/>
        <v>2.0449999999999999</v>
      </c>
      <c r="I69" s="20">
        <f t="shared" si="12"/>
        <v>1.9930000000000001</v>
      </c>
      <c r="J69" s="75">
        <f t="shared" si="13"/>
        <v>1.6339999999999999</v>
      </c>
      <c r="K69" s="765"/>
      <c r="L69" s="20"/>
      <c r="M69" s="20"/>
      <c r="N69" s="20"/>
      <c r="O69" s="20"/>
      <c r="P69" s="20"/>
      <c r="Q69" s="21"/>
      <c r="R69" s="22">
        <f t="shared" si="14"/>
        <v>114</v>
      </c>
      <c r="S69" s="20">
        <v>1</v>
      </c>
      <c r="T69" s="20"/>
      <c r="U69" s="22"/>
      <c r="V69" s="20"/>
    </row>
    <row r="70" spans="1:22" s="294" customFormat="1">
      <c r="A70" s="2" t="s">
        <v>557</v>
      </c>
      <c r="B70" s="2" t="s">
        <v>2166</v>
      </c>
      <c r="C70" s="2">
        <v>230</v>
      </c>
      <c r="D70" s="2">
        <v>114</v>
      </c>
      <c r="E70" s="2">
        <v>69</v>
      </c>
      <c r="F70" s="2">
        <v>59</v>
      </c>
      <c r="G70" s="21">
        <f t="shared" ref="G70:G134" si="15">IF(B70="","",AVERAGE(E70:F70)*D70*C70/10^6)</f>
        <v>1.67808</v>
      </c>
      <c r="H70" s="20">
        <f t="shared" si="11"/>
        <v>1.8089999999999999</v>
      </c>
      <c r="I70" s="20">
        <f t="shared" si="12"/>
        <v>1.6779999999999999</v>
      </c>
      <c r="J70" s="75">
        <f t="shared" si="13"/>
        <v>1.242</v>
      </c>
      <c r="K70" s="765"/>
      <c r="L70" s="20"/>
      <c r="M70" s="20"/>
      <c r="N70" s="20"/>
      <c r="O70" s="20"/>
      <c r="P70" s="20"/>
      <c r="Q70" s="21"/>
      <c r="R70" s="22">
        <f t="shared" si="14"/>
        <v>114</v>
      </c>
      <c r="S70" s="20">
        <v>1</v>
      </c>
      <c r="T70" s="20"/>
      <c r="U70" s="22"/>
      <c r="V70" s="20"/>
    </row>
    <row r="71" spans="1:22" s="294" customFormat="1">
      <c r="A71" s="2" t="s">
        <v>2053</v>
      </c>
      <c r="B71" s="2" t="s">
        <v>2166</v>
      </c>
      <c r="C71" s="2">
        <v>230</v>
      </c>
      <c r="D71" s="2">
        <v>114</v>
      </c>
      <c r="E71" s="2">
        <v>81</v>
      </c>
      <c r="F71" s="2">
        <v>71</v>
      </c>
      <c r="G71" s="21">
        <f t="shared" si="15"/>
        <v>1.99272</v>
      </c>
      <c r="H71" s="20">
        <f t="shared" si="11"/>
        <v>2.1240000000000001</v>
      </c>
      <c r="I71" s="20">
        <f t="shared" si="12"/>
        <v>1.9930000000000001</v>
      </c>
      <c r="J71" s="75">
        <f t="shared" si="13"/>
        <v>1.5920000000000001</v>
      </c>
      <c r="K71" s="765"/>
      <c r="L71" s="20"/>
      <c r="M71" s="20"/>
      <c r="N71" s="20"/>
      <c r="O71" s="20"/>
      <c r="P71" s="20"/>
      <c r="Q71" s="21"/>
      <c r="R71" s="22">
        <f t="shared" si="14"/>
        <v>114</v>
      </c>
      <c r="S71" s="20">
        <v>1</v>
      </c>
      <c r="T71" s="20"/>
      <c r="U71" s="22"/>
      <c r="V71" s="20"/>
    </row>
    <row r="72" spans="1:22" s="294" customFormat="1">
      <c r="A72" s="2" t="s">
        <v>558</v>
      </c>
      <c r="B72" s="2" t="s">
        <v>2166</v>
      </c>
      <c r="C72" s="2">
        <v>230</v>
      </c>
      <c r="D72" s="2">
        <v>114</v>
      </c>
      <c r="E72" s="2">
        <v>72</v>
      </c>
      <c r="F72" s="2">
        <v>56</v>
      </c>
      <c r="G72" s="21">
        <f t="shared" si="15"/>
        <v>1.67808</v>
      </c>
      <c r="H72" s="20">
        <f t="shared" si="11"/>
        <v>1.8879999999999999</v>
      </c>
      <c r="I72" s="20">
        <f t="shared" si="12"/>
        <v>1.6779999999999999</v>
      </c>
      <c r="J72" s="75">
        <f t="shared" si="13"/>
        <v>1.198</v>
      </c>
      <c r="K72" s="765"/>
      <c r="L72" s="20"/>
      <c r="M72" s="20"/>
      <c r="N72" s="20"/>
      <c r="O72" s="20"/>
      <c r="P72" s="20"/>
      <c r="Q72" s="21"/>
      <c r="R72" s="22">
        <f t="shared" si="14"/>
        <v>114</v>
      </c>
      <c r="S72" s="20">
        <v>1</v>
      </c>
      <c r="T72" s="20"/>
      <c r="U72" s="22"/>
      <c r="V72" s="20"/>
    </row>
    <row r="73" spans="1:22" s="294" customFormat="1">
      <c r="A73" s="2" t="s">
        <v>2054</v>
      </c>
      <c r="B73" s="2" t="s">
        <v>2166</v>
      </c>
      <c r="C73" s="2">
        <v>230</v>
      </c>
      <c r="D73" s="2">
        <v>114</v>
      </c>
      <c r="E73" s="2">
        <v>84</v>
      </c>
      <c r="F73" s="2">
        <v>68</v>
      </c>
      <c r="G73" s="21">
        <f t="shared" si="15"/>
        <v>1.99272</v>
      </c>
      <c r="H73" s="20">
        <f t="shared" si="11"/>
        <v>2.202</v>
      </c>
      <c r="I73" s="20">
        <f t="shared" si="12"/>
        <v>1.9930000000000001</v>
      </c>
      <c r="J73" s="75">
        <f t="shared" si="13"/>
        <v>1.548</v>
      </c>
      <c r="K73" s="765"/>
      <c r="L73" s="20"/>
      <c r="M73" s="20"/>
      <c r="N73" s="20"/>
      <c r="O73" s="20"/>
      <c r="P73" s="20"/>
      <c r="Q73" s="21"/>
      <c r="R73" s="22">
        <f t="shared" si="14"/>
        <v>114</v>
      </c>
      <c r="S73" s="20">
        <v>1</v>
      </c>
      <c r="T73" s="20"/>
      <c r="U73" s="22"/>
      <c r="V73" s="20"/>
    </row>
    <row r="74" spans="1:22" s="294" customFormat="1">
      <c r="A74" s="2" t="s">
        <v>559</v>
      </c>
      <c r="B74" s="2" t="s">
        <v>2166</v>
      </c>
      <c r="C74" s="2">
        <v>230</v>
      </c>
      <c r="D74" s="2">
        <v>114</v>
      </c>
      <c r="E74" s="2">
        <v>76</v>
      </c>
      <c r="F74" s="2">
        <v>52</v>
      </c>
      <c r="G74" s="21">
        <f t="shared" si="15"/>
        <v>1.67808</v>
      </c>
      <c r="H74" s="20">
        <f t="shared" si="11"/>
        <v>1.9930000000000001</v>
      </c>
      <c r="I74" s="20">
        <f t="shared" si="12"/>
        <v>1.6779999999999999</v>
      </c>
      <c r="J74" s="75">
        <f t="shared" si="13"/>
        <v>1.1359999999999999</v>
      </c>
      <c r="K74" s="765"/>
      <c r="L74" s="20"/>
      <c r="M74" s="20"/>
      <c r="N74" s="20"/>
      <c r="O74" s="20"/>
      <c r="P74" s="20"/>
      <c r="Q74" s="21"/>
      <c r="R74" s="22">
        <f t="shared" si="14"/>
        <v>114</v>
      </c>
      <c r="S74" s="20">
        <v>1</v>
      </c>
      <c r="T74" s="20"/>
      <c r="U74" s="22"/>
      <c r="V74" s="20"/>
    </row>
    <row r="75" spans="1:22" s="294" customFormat="1">
      <c r="A75" s="2" t="s">
        <v>2055</v>
      </c>
      <c r="B75" s="2" t="s">
        <v>2166</v>
      </c>
      <c r="C75" s="2">
        <v>230</v>
      </c>
      <c r="D75" s="2">
        <v>114</v>
      </c>
      <c r="E75" s="2">
        <v>88</v>
      </c>
      <c r="F75" s="2">
        <v>64</v>
      </c>
      <c r="G75" s="21">
        <f t="shared" si="15"/>
        <v>1.99272</v>
      </c>
      <c r="H75" s="20">
        <f t="shared" si="11"/>
        <v>2.3069999999999999</v>
      </c>
      <c r="I75" s="20">
        <f t="shared" si="12"/>
        <v>1.9930000000000001</v>
      </c>
      <c r="J75" s="75">
        <f t="shared" si="13"/>
        <v>1.4870000000000001</v>
      </c>
      <c r="K75" s="765"/>
      <c r="L75" s="20"/>
      <c r="M75" s="20"/>
      <c r="N75" s="20"/>
      <c r="O75" s="20"/>
      <c r="P75" s="20"/>
      <c r="Q75" s="21"/>
      <c r="R75" s="22">
        <f t="shared" si="14"/>
        <v>114</v>
      </c>
      <c r="S75" s="20">
        <v>1</v>
      </c>
      <c r="T75" s="20"/>
      <c r="U75" s="22"/>
      <c r="V75" s="20"/>
    </row>
    <row r="76" spans="1:22" s="294" customFormat="1">
      <c r="A76" s="2" t="s">
        <v>560</v>
      </c>
      <c r="B76" s="2" t="s">
        <v>2166</v>
      </c>
      <c r="C76" s="2">
        <v>230</v>
      </c>
      <c r="D76" s="2">
        <v>114</v>
      </c>
      <c r="E76" s="2">
        <v>77</v>
      </c>
      <c r="F76" s="2">
        <v>51</v>
      </c>
      <c r="G76" s="21">
        <f t="shared" si="15"/>
        <v>1.67808</v>
      </c>
      <c r="H76" s="20">
        <f t="shared" si="11"/>
        <v>2.0190000000000001</v>
      </c>
      <c r="I76" s="20">
        <f t="shared" si="12"/>
        <v>1.6779999999999999</v>
      </c>
      <c r="J76" s="75">
        <f t="shared" si="13"/>
        <v>1.1200000000000001</v>
      </c>
      <c r="K76" s="765"/>
      <c r="L76" s="20"/>
      <c r="M76" s="20"/>
      <c r="N76" s="20"/>
      <c r="O76" s="20"/>
      <c r="P76" s="20"/>
      <c r="Q76" s="21"/>
      <c r="R76" s="22">
        <f t="shared" si="14"/>
        <v>114</v>
      </c>
      <c r="S76" s="20">
        <v>1</v>
      </c>
      <c r="T76" s="20"/>
      <c r="U76" s="22"/>
      <c r="V76" s="20"/>
    </row>
    <row r="77" spans="1:22" s="294" customFormat="1">
      <c r="A77" s="2" t="s">
        <v>561</v>
      </c>
      <c r="B77" s="2" t="s">
        <v>2166</v>
      </c>
      <c r="C77" s="2">
        <v>230</v>
      </c>
      <c r="D77" s="2">
        <v>114</v>
      </c>
      <c r="E77" s="2">
        <v>78</v>
      </c>
      <c r="F77" s="2">
        <v>50</v>
      </c>
      <c r="G77" s="21">
        <f t="shared" si="15"/>
        <v>1.67808</v>
      </c>
      <c r="H77" s="20">
        <f t="shared" si="11"/>
        <v>2.0449999999999999</v>
      </c>
      <c r="I77" s="20">
        <f t="shared" si="12"/>
        <v>1.6779999999999999</v>
      </c>
      <c r="J77" s="75">
        <f t="shared" si="13"/>
        <v>1.1040000000000001</v>
      </c>
      <c r="K77" s="765"/>
      <c r="L77" s="20"/>
      <c r="M77" s="20"/>
      <c r="N77" s="20"/>
      <c r="O77" s="20"/>
      <c r="P77" s="20"/>
      <c r="Q77" s="21"/>
      <c r="R77" s="22">
        <f t="shared" si="14"/>
        <v>114</v>
      </c>
      <c r="S77" s="20">
        <v>1</v>
      </c>
      <c r="T77" s="20"/>
      <c r="U77" s="22"/>
      <c r="V77" s="20"/>
    </row>
    <row r="78" spans="1:22" s="294" customFormat="1">
      <c r="A78" s="2" t="s">
        <v>562</v>
      </c>
      <c r="B78" s="2" t="s">
        <v>2166</v>
      </c>
      <c r="C78" s="2">
        <v>230</v>
      </c>
      <c r="D78" s="2">
        <v>114</v>
      </c>
      <c r="E78" s="2">
        <v>89</v>
      </c>
      <c r="F78" s="2">
        <v>39</v>
      </c>
      <c r="G78" s="21">
        <f t="shared" si="15"/>
        <v>1.67808</v>
      </c>
      <c r="H78" s="20">
        <f t="shared" si="11"/>
        <v>2.3340000000000001</v>
      </c>
      <c r="I78" s="20">
        <f t="shared" si="12"/>
        <v>1.6779999999999999</v>
      </c>
      <c r="J78" s="75">
        <f t="shared" si="13"/>
        <v>0.91</v>
      </c>
      <c r="K78" s="765"/>
      <c r="L78" s="20"/>
      <c r="M78" s="20"/>
      <c r="N78" s="20"/>
      <c r="O78" s="20"/>
      <c r="P78" s="20"/>
      <c r="Q78" s="21"/>
      <c r="R78" s="22">
        <f t="shared" si="14"/>
        <v>114</v>
      </c>
      <c r="S78" s="20">
        <v>1</v>
      </c>
      <c r="T78" s="20"/>
      <c r="U78" s="22"/>
      <c r="V78" s="20"/>
    </row>
    <row r="79" spans="1:22" s="294" customFormat="1">
      <c r="A79" s="2" t="s">
        <v>2056</v>
      </c>
      <c r="B79" s="2" t="s">
        <v>2166</v>
      </c>
      <c r="C79" s="2">
        <v>230</v>
      </c>
      <c r="D79" s="2">
        <v>114</v>
      </c>
      <c r="E79" s="2">
        <v>101</v>
      </c>
      <c r="F79" s="2">
        <v>51</v>
      </c>
      <c r="G79" s="21">
        <f t="shared" si="15"/>
        <v>1.99272</v>
      </c>
      <c r="H79" s="20">
        <f t="shared" si="11"/>
        <v>2.6480000000000001</v>
      </c>
      <c r="I79" s="20">
        <f t="shared" si="12"/>
        <v>1.9930000000000001</v>
      </c>
      <c r="J79" s="75">
        <f t="shared" si="13"/>
        <v>1.2609999999999999</v>
      </c>
      <c r="K79" s="765"/>
      <c r="L79" s="20"/>
      <c r="M79" s="20"/>
      <c r="N79" s="20"/>
      <c r="O79" s="20"/>
      <c r="P79" s="20"/>
      <c r="Q79" s="21"/>
      <c r="R79" s="22">
        <f t="shared" si="14"/>
        <v>114</v>
      </c>
      <c r="S79" s="20">
        <v>1</v>
      </c>
      <c r="T79" s="20"/>
      <c r="U79" s="22"/>
      <c r="V79" s="20"/>
    </row>
    <row r="80" spans="1:22" s="294" customFormat="1">
      <c r="A80" s="2" t="s">
        <v>563</v>
      </c>
      <c r="B80" s="2" t="s">
        <v>2166</v>
      </c>
      <c r="C80" s="2">
        <v>230</v>
      </c>
      <c r="D80" s="2">
        <v>230</v>
      </c>
      <c r="E80" s="2">
        <v>66</v>
      </c>
      <c r="F80" s="2">
        <v>62</v>
      </c>
      <c r="G80" s="21">
        <f t="shared" si="15"/>
        <v>3.3856000000000002</v>
      </c>
      <c r="H80" s="20">
        <f t="shared" si="11"/>
        <v>3.4910000000000001</v>
      </c>
      <c r="I80" s="20">
        <f t="shared" si="12"/>
        <v>3.3860000000000001</v>
      </c>
      <c r="J80" s="75">
        <f t="shared" si="13"/>
        <v>2.11</v>
      </c>
      <c r="K80" s="765"/>
      <c r="L80" s="20"/>
      <c r="M80" s="20"/>
      <c r="N80" s="20"/>
      <c r="O80" s="20"/>
      <c r="P80" s="20"/>
      <c r="Q80" s="21"/>
      <c r="R80" s="22">
        <f t="shared" si="14"/>
        <v>230</v>
      </c>
      <c r="S80" s="20">
        <v>1</v>
      </c>
      <c r="T80" s="20"/>
      <c r="U80" s="22"/>
      <c r="V80" s="20"/>
    </row>
    <row r="81" spans="1:22" s="294" customFormat="1">
      <c r="A81" s="2" t="s">
        <v>2057</v>
      </c>
      <c r="B81" s="2" t="s">
        <v>2166</v>
      </c>
      <c r="C81" s="2">
        <v>230</v>
      </c>
      <c r="D81" s="2">
        <v>230</v>
      </c>
      <c r="E81" s="2">
        <v>78</v>
      </c>
      <c r="F81" s="2">
        <v>74</v>
      </c>
      <c r="G81" s="21">
        <f t="shared" si="15"/>
        <v>4.0204000000000004</v>
      </c>
      <c r="H81" s="20">
        <f t="shared" si="11"/>
        <v>4.1260000000000003</v>
      </c>
      <c r="I81" s="20">
        <f t="shared" si="12"/>
        <v>4.0199999999999996</v>
      </c>
      <c r="J81" s="75">
        <f t="shared" si="13"/>
        <v>2.621</v>
      </c>
      <c r="K81" s="765"/>
      <c r="L81" s="20"/>
      <c r="M81" s="20"/>
      <c r="N81" s="20"/>
      <c r="O81" s="20"/>
      <c r="P81" s="20"/>
      <c r="Q81" s="21"/>
      <c r="R81" s="22">
        <f t="shared" si="14"/>
        <v>230</v>
      </c>
      <c r="S81" s="20">
        <v>1</v>
      </c>
      <c r="T81" s="20"/>
      <c r="U81" s="22"/>
      <c r="V81" s="20"/>
    </row>
    <row r="82" spans="1:22" s="294" customFormat="1">
      <c r="A82" s="2" t="s">
        <v>564</v>
      </c>
      <c r="B82" s="2" t="s">
        <v>2166</v>
      </c>
      <c r="C82" s="2">
        <v>230</v>
      </c>
      <c r="D82" s="2">
        <v>230</v>
      </c>
      <c r="E82" s="2">
        <v>69</v>
      </c>
      <c r="F82" s="2">
        <v>59</v>
      </c>
      <c r="G82" s="21">
        <f t="shared" si="15"/>
        <v>3.3856000000000002</v>
      </c>
      <c r="H82" s="20">
        <f t="shared" si="11"/>
        <v>3.65</v>
      </c>
      <c r="I82" s="20">
        <f t="shared" si="12"/>
        <v>3.3860000000000001</v>
      </c>
      <c r="J82" s="75">
        <f t="shared" si="13"/>
        <v>2.0289999999999999</v>
      </c>
      <c r="K82" s="765"/>
      <c r="L82" s="20"/>
      <c r="M82" s="20"/>
      <c r="N82" s="20"/>
      <c r="O82" s="20"/>
      <c r="P82" s="20"/>
      <c r="Q82" s="21"/>
      <c r="R82" s="22">
        <f t="shared" si="14"/>
        <v>230</v>
      </c>
      <c r="S82" s="20">
        <v>1</v>
      </c>
      <c r="T82" s="20"/>
      <c r="U82" s="22"/>
      <c r="V82" s="20"/>
    </row>
    <row r="83" spans="1:22" s="294" customFormat="1">
      <c r="A83" s="2" t="s">
        <v>2058</v>
      </c>
      <c r="B83" s="2" t="s">
        <v>2166</v>
      </c>
      <c r="C83" s="2">
        <v>230</v>
      </c>
      <c r="D83" s="2">
        <v>230</v>
      </c>
      <c r="E83" s="2">
        <v>81</v>
      </c>
      <c r="F83" s="2">
        <v>71</v>
      </c>
      <c r="G83" s="21">
        <f t="shared" si="15"/>
        <v>4.0204000000000004</v>
      </c>
      <c r="H83" s="20">
        <f t="shared" si="11"/>
        <v>4.2850000000000001</v>
      </c>
      <c r="I83" s="20">
        <f t="shared" si="12"/>
        <v>4.0199999999999996</v>
      </c>
      <c r="J83" s="75">
        <f t="shared" si="13"/>
        <v>2.5390000000000001</v>
      </c>
      <c r="K83" s="765"/>
      <c r="L83" s="20"/>
      <c r="M83" s="20"/>
      <c r="N83" s="20"/>
      <c r="O83" s="20"/>
      <c r="P83" s="20"/>
      <c r="Q83" s="21"/>
      <c r="R83" s="22">
        <f t="shared" si="14"/>
        <v>230</v>
      </c>
      <c r="S83" s="20">
        <v>1</v>
      </c>
      <c r="T83" s="20"/>
      <c r="U83" s="22"/>
      <c r="V83" s="20"/>
    </row>
    <row r="84" spans="1:22" s="294" customFormat="1">
      <c r="A84" s="2" t="s">
        <v>565</v>
      </c>
      <c r="B84" s="2" t="s">
        <v>2166</v>
      </c>
      <c r="C84" s="2">
        <v>230</v>
      </c>
      <c r="D84" s="2">
        <v>230</v>
      </c>
      <c r="E84" s="2">
        <v>72</v>
      </c>
      <c r="F84" s="2">
        <v>56</v>
      </c>
      <c r="G84" s="21">
        <f t="shared" si="15"/>
        <v>3.3856000000000002</v>
      </c>
      <c r="H84" s="20">
        <f t="shared" si="11"/>
        <v>3.8090000000000002</v>
      </c>
      <c r="I84" s="20">
        <f t="shared" si="12"/>
        <v>3.3860000000000001</v>
      </c>
      <c r="J84" s="75">
        <f t="shared" si="13"/>
        <v>1.9450000000000001</v>
      </c>
      <c r="K84" s="765"/>
      <c r="L84" s="20"/>
      <c r="M84" s="20"/>
      <c r="N84" s="20"/>
      <c r="O84" s="20"/>
      <c r="P84" s="20"/>
      <c r="Q84" s="21"/>
      <c r="R84" s="22">
        <f t="shared" si="14"/>
        <v>230</v>
      </c>
      <c r="S84" s="20">
        <v>1</v>
      </c>
      <c r="T84" s="20"/>
      <c r="U84" s="22"/>
      <c r="V84" s="20"/>
    </row>
    <row r="85" spans="1:22" s="294" customFormat="1">
      <c r="A85" s="2" t="s">
        <v>2059</v>
      </c>
      <c r="B85" s="2" t="s">
        <v>2166</v>
      </c>
      <c r="C85" s="2">
        <v>230</v>
      </c>
      <c r="D85" s="2">
        <v>230</v>
      </c>
      <c r="E85" s="2">
        <v>84</v>
      </c>
      <c r="F85" s="2">
        <v>68</v>
      </c>
      <c r="G85" s="21">
        <f t="shared" si="15"/>
        <v>4.0204000000000004</v>
      </c>
      <c r="H85" s="20">
        <f t="shared" si="11"/>
        <v>4.444</v>
      </c>
      <c r="I85" s="20">
        <f t="shared" si="12"/>
        <v>4.0199999999999996</v>
      </c>
      <c r="J85" s="75">
        <f t="shared" si="13"/>
        <v>2.4550000000000001</v>
      </c>
      <c r="K85" s="765"/>
      <c r="L85" s="20"/>
      <c r="M85" s="20"/>
      <c r="N85" s="20"/>
      <c r="O85" s="20"/>
      <c r="P85" s="20"/>
      <c r="Q85" s="21"/>
      <c r="R85" s="22">
        <f t="shared" si="14"/>
        <v>230</v>
      </c>
      <c r="S85" s="20">
        <v>1</v>
      </c>
      <c r="T85" s="20"/>
      <c r="U85" s="22"/>
      <c r="V85" s="20"/>
    </row>
    <row r="86" spans="1:22" s="294" customFormat="1">
      <c r="A86" s="2" t="s">
        <v>566</v>
      </c>
      <c r="B86" s="2" t="s">
        <v>2166</v>
      </c>
      <c r="C86" s="2">
        <v>230</v>
      </c>
      <c r="D86" s="2">
        <v>230</v>
      </c>
      <c r="E86" s="2">
        <v>76</v>
      </c>
      <c r="F86" s="2">
        <v>52</v>
      </c>
      <c r="G86" s="21">
        <f t="shared" si="15"/>
        <v>3.3856000000000002</v>
      </c>
      <c r="H86" s="20">
        <f t="shared" si="11"/>
        <v>4.0199999999999996</v>
      </c>
      <c r="I86" s="20">
        <f t="shared" si="12"/>
        <v>3.3860000000000001</v>
      </c>
      <c r="J86" s="75">
        <f t="shared" si="13"/>
        <v>1.83</v>
      </c>
      <c r="K86" s="765"/>
      <c r="L86" s="20"/>
      <c r="M86" s="20"/>
      <c r="N86" s="20"/>
      <c r="O86" s="20"/>
      <c r="P86" s="20"/>
      <c r="Q86" s="21"/>
      <c r="R86" s="22">
        <f t="shared" si="14"/>
        <v>230</v>
      </c>
      <c r="S86" s="20">
        <v>1</v>
      </c>
      <c r="T86" s="20"/>
      <c r="U86" s="22"/>
      <c r="V86" s="20"/>
    </row>
    <row r="87" spans="1:22" s="294" customFormat="1">
      <c r="A87" s="2" t="s">
        <v>2060</v>
      </c>
      <c r="B87" s="2" t="s">
        <v>2166</v>
      </c>
      <c r="C87" s="2">
        <v>230</v>
      </c>
      <c r="D87" s="2">
        <v>230</v>
      </c>
      <c r="E87" s="2">
        <v>88</v>
      </c>
      <c r="F87" s="2">
        <v>64</v>
      </c>
      <c r="G87" s="21">
        <f t="shared" si="15"/>
        <v>4.0204000000000004</v>
      </c>
      <c r="H87" s="20">
        <f t="shared" si="11"/>
        <v>4.6550000000000002</v>
      </c>
      <c r="I87" s="20">
        <f t="shared" si="12"/>
        <v>4.0199999999999996</v>
      </c>
      <c r="J87" s="75">
        <f t="shared" si="13"/>
        <v>2.34</v>
      </c>
      <c r="K87" s="765"/>
      <c r="L87" s="20"/>
      <c r="M87" s="20"/>
      <c r="N87" s="20"/>
      <c r="O87" s="20"/>
      <c r="P87" s="20"/>
      <c r="Q87" s="21"/>
      <c r="R87" s="22">
        <f t="shared" si="14"/>
        <v>230</v>
      </c>
      <c r="S87" s="20">
        <v>1</v>
      </c>
      <c r="T87" s="20"/>
      <c r="U87" s="22"/>
      <c r="V87" s="20"/>
    </row>
    <row r="88" spans="1:22" s="294" customFormat="1">
      <c r="A88" s="2" t="s">
        <v>567</v>
      </c>
      <c r="B88" s="2" t="s">
        <v>2166</v>
      </c>
      <c r="C88" s="2">
        <v>230</v>
      </c>
      <c r="D88" s="2">
        <v>230</v>
      </c>
      <c r="E88" s="2">
        <v>77</v>
      </c>
      <c r="F88" s="2">
        <v>51</v>
      </c>
      <c r="G88" s="21">
        <f t="shared" si="15"/>
        <v>3.3856000000000002</v>
      </c>
      <c r="H88" s="20">
        <f t="shared" si="11"/>
        <v>4.0730000000000004</v>
      </c>
      <c r="I88" s="20">
        <f t="shared" si="12"/>
        <v>3.3860000000000001</v>
      </c>
      <c r="J88" s="75">
        <f t="shared" si="13"/>
        <v>1.8009999999999999</v>
      </c>
      <c r="K88" s="765"/>
      <c r="L88" s="20"/>
      <c r="M88" s="20"/>
      <c r="N88" s="20"/>
      <c r="O88" s="20"/>
      <c r="P88" s="20"/>
      <c r="Q88" s="21"/>
      <c r="R88" s="22">
        <f t="shared" si="14"/>
        <v>230</v>
      </c>
      <c r="S88" s="20">
        <v>1</v>
      </c>
      <c r="T88" s="20"/>
      <c r="U88" s="22"/>
      <c r="V88" s="20"/>
    </row>
    <row r="89" spans="1:22" s="294" customFormat="1">
      <c r="A89" s="2" t="s">
        <v>2061</v>
      </c>
      <c r="B89" s="2" t="s">
        <v>2166</v>
      </c>
      <c r="C89" s="2">
        <v>230</v>
      </c>
      <c r="D89" s="2">
        <v>230</v>
      </c>
      <c r="E89" s="2">
        <v>89</v>
      </c>
      <c r="F89" s="2">
        <v>39</v>
      </c>
      <c r="G89" s="21">
        <f t="shared" si="15"/>
        <v>3.3856000000000002</v>
      </c>
      <c r="H89" s="20">
        <f t="shared" si="11"/>
        <v>4.7080000000000002</v>
      </c>
      <c r="I89" s="20">
        <f t="shared" si="12"/>
        <v>3.3860000000000001</v>
      </c>
      <c r="J89" s="75">
        <f t="shared" si="13"/>
        <v>1.431</v>
      </c>
      <c r="K89" s="765"/>
      <c r="L89" s="20"/>
      <c r="M89" s="20"/>
      <c r="N89" s="20"/>
      <c r="O89" s="20"/>
      <c r="P89" s="20"/>
      <c r="Q89" s="21"/>
      <c r="R89" s="22">
        <f t="shared" si="14"/>
        <v>230</v>
      </c>
      <c r="S89" s="20">
        <v>1</v>
      </c>
      <c r="T89" s="20"/>
      <c r="U89" s="22"/>
      <c r="V89" s="20"/>
    </row>
    <row r="90" spans="1:22" s="294" customFormat="1">
      <c r="A90" s="2" t="s">
        <v>2062</v>
      </c>
      <c r="B90" s="2" t="s">
        <v>2166</v>
      </c>
      <c r="C90" s="2">
        <v>230</v>
      </c>
      <c r="D90" s="2">
        <v>230</v>
      </c>
      <c r="E90" s="2">
        <v>101</v>
      </c>
      <c r="F90" s="2">
        <v>51</v>
      </c>
      <c r="G90" s="21">
        <f t="shared" si="15"/>
        <v>4.0204000000000004</v>
      </c>
      <c r="H90" s="20">
        <f t="shared" si="11"/>
        <v>5.343</v>
      </c>
      <c r="I90" s="20">
        <f t="shared" si="12"/>
        <v>4.0199999999999996</v>
      </c>
      <c r="J90" s="75">
        <f t="shared" si="13"/>
        <v>1.9410000000000001</v>
      </c>
      <c r="K90" s="765"/>
      <c r="L90" s="20"/>
      <c r="M90" s="20"/>
      <c r="N90" s="20"/>
      <c r="O90" s="20"/>
      <c r="P90" s="20"/>
      <c r="Q90" s="21"/>
      <c r="R90" s="22">
        <f t="shared" si="14"/>
        <v>230</v>
      </c>
      <c r="S90" s="20">
        <v>1</v>
      </c>
      <c r="T90" s="20"/>
      <c r="U90" s="22"/>
      <c r="V90" s="20"/>
    </row>
    <row r="91" spans="1:22" s="294" customFormat="1">
      <c r="A91" s="2" t="s">
        <v>568</v>
      </c>
      <c r="B91" s="2" t="s">
        <v>2166</v>
      </c>
      <c r="C91" s="2">
        <v>250</v>
      </c>
      <c r="D91" s="2">
        <v>124</v>
      </c>
      <c r="E91" s="2">
        <v>66</v>
      </c>
      <c r="F91" s="2">
        <v>62</v>
      </c>
      <c r="G91" s="21">
        <f t="shared" si="15"/>
        <v>1.984</v>
      </c>
      <c r="H91" s="20">
        <f t="shared" si="11"/>
        <v>2.0459999999999998</v>
      </c>
      <c r="I91" s="20">
        <f t="shared" si="12"/>
        <v>1.984</v>
      </c>
      <c r="J91" s="75">
        <f t="shared" si="13"/>
        <v>1.4730000000000001</v>
      </c>
      <c r="K91" s="765"/>
      <c r="L91" s="20"/>
      <c r="M91" s="20"/>
      <c r="N91" s="20"/>
      <c r="O91" s="20"/>
      <c r="P91" s="20"/>
      <c r="Q91" s="21"/>
      <c r="R91" s="22">
        <f t="shared" si="14"/>
        <v>124</v>
      </c>
      <c r="S91" s="20">
        <v>1</v>
      </c>
      <c r="T91" s="20"/>
      <c r="U91" s="22"/>
      <c r="V91" s="20"/>
    </row>
    <row r="92" spans="1:22" s="294" customFormat="1">
      <c r="A92" s="2" t="s">
        <v>2063</v>
      </c>
      <c r="B92" s="2" t="s">
        <v>2166</v>
      </c>
      <c r="C92" s="2">
        <v>250</v>
      </c>
      <c r="D92" s="2">
        <v>124</v>
      </c>
      <c r="E92" s="2">
        <v>78</v>
      </c>
      <c r="F92" s="2">
        <v>74</v>
      </c>
      <c r="G92" s="21">
        <f t="shared" si="15"/>
        <v>2.3559999999999999</v>
      </c>
      <c r="H92" s="20">
        <f t="shared" si="11"/>
        <v>2.4180000000000001</v>
      </c>
      <c r="I92" s="20">
        <f t="shared" si="12"/>
        <v>2.3559999999999999</v>
      </c>
      <c r="J92" s="75">
        <f t="shared" si="13"/>
        <v>1.869</v>
      </c>
      <c r="K92" s="765"/>
      <c r="L92" s="20"/>
      <c r="M92" s="20"/>
      <c r="N92" s="20"/>
      <c r="O92" s="20"/>
      <c r="P92" s="20"/>
      <c r="Q92" s="21"/>
      <c r="R92" s="22">
        <f t="shared" si="14"/>
        <v>124</v>
      </c>
      <c r="S92" s="20">
        <v>1</v>
      </c>
      <c r="T92" s="20"/>
      <c r="U92" s="22"/>
      <c r="V92" s="20"/>
    </row>
    <row r="93" spans="1:22" s="294" customFormat="1">
      <c r="A93" s="2" t="s">
        <v>569</v>
      </c>
      <c r="B93" s="2" t="s">
        <v>2166</v>
      </c>
      <c r="C93" s="2">
        <v>250</v>
      </c>
      <c r="D93" s="2">
        <v>124</v>
      </c>
      <c r="E93" s="2">
        <v>67</v>
      </c>
      <c r="F93" s="2">
        <v>61</v>
      </c>
      <c r="G93" s="21">
        <f t="shared" si="15"/>
        <v>1.984</v>
      </c>
      <c r="H93" s="20">
        <f t="shared" si="11"/>
        <v>2.077</v>
      </c>
      <c r="I93" s="20">
        <f t="shared" si="12"/>
        <v>1.984</v>
      </c>
      <c r="J93" s="75">
        <f t="shared" si="13"/>
        <v>1.456</v>
      </c>
      <c r="K93" s="765"/>
      <c r="L93" s="20"/>
      <c r="M93" s="20"/>
      <c r="N93" s="20"/>
      <c r="O93" s="20"/>
      <c r="P93" s="20"/>
      <c r="Q93" s="21"/>
      <c r="R93" s="22">
        <f t="shared" si="14"/>
        <v>124</v>
      </c>
      <c r="S93" s="20">
        <v>1</v>
      </c>
      <c r="T93" s="20"/>
      <c r="U93" s="22"/>
      <c r="V93" s="20"/>
    </row>
    <row r="94" spans="1:22" s="294" customFormat="1">
      <c r="A94" s="2" t="s">
        <v>447</v>
      </c>
      <c r="B94" s="2" t="s">
        <v>2166</v>
      </c>
      <c r="C94" s="2">
        <v>250</v>
      </c>
      <c r="D94" s="2">
        <v>124</v>
      </c>
      <c r="E94" s="2">
        <v>69</v>
      </c>
      <c r="F94" s="2">
        <v>59</v>
      </c>
      <c r="G94" s="21">
        <f t="shared" si="15"/>
        <v>1.984</v>
      </c>
      <c r="H94" s="20">
        <f t="shared" si="11"/>
        <v>2.1389999999999998</v>
      </c>
      <c r="I94" s="20">
        <f t="shared" si="12"/>
        <v>1.984</v>
      </c>
      <c r="J94" s="75">
        <f t="shared" si="13"/>
        <v>1.423</v>
      </c>
      <c r="K94" s="765"/>
      <c r="L94" s="20"/>
      <c r="M94" s="20"/>
      <c r="N94" s="20"/>
      <c r="O94" s="20"/>
      <c r="P94" s="20"/>
      <c r="Q94" s="21"/>
      <c r="R94" s="22">
        <f t="shared" si="14"/>
        <v>124</v>
      </c>
      <c r="S94" s="20">
        <v>1</v>
      </c>
      <c r="T94" s="20"/>
      <c r="U94" s="22"/>
      <c r="V94" s="20"/>
    </row>
    <row r="95" spans="1:22" s="294" customFormat="1">
      <c r="A95" s="2" t="s">
        <v>2064</v>
      </c>
      <c r="B95" s="2" t="s">
        <v>2166</v>
      </c>
      <c r="C95" s="2">
        <v>250</v>
      </c>
      <c r="D95" s="2">
        <v>124</v>
      </c>
      <c r="E95" s="2">
        <v>81</v>
      </c>
      <c r="F95" s="2">
        <v>71</v>
      </c>
      <c r="G95" s="21">
        <f t="shared" si="15"/>
        <v>2.3559999999999999</v>
      </c>
      <c r="H95" s="20">
        <f t="shared" si="11"/>
        <v>2.5110000000000001</v>
      </c>
      <c r="I95" s="20">
        <f t="shared" si="12"/>
        <v>2.3559999999999999</v>
      </c>
      <c r="J95" s="75">
        <f t="shared" si="13"/>
        <v>1.819</v>
      </c>
      <c r="K95" s="765"/>
      <c r="L95" s="20"/>
      <c r="M95" s="20"/>
      <c r="N95" s="20"/>
      <c r="O95" s="20"/>
      <c r="P95" s="20"/>
      <c r="Q95" s="21"/>
      <c r="R95" s="22">
        <f t="shared" si="14"/>
        <v>124</v>
      </c>
      <c r="S95" s="20">
        <v>1</v>
      </c>
      <c r="T95" s="20"/>
      <c r="U95" s="22"/>
      <c r="V95" s="20"/>
    </row>
    <row r="96" spans="1:22" s="294" customFormat="1">
      <c r="A96" s="2" t="s">
        <v>570</v>
      </c>
      <c r="B96" s="2" t="s">
        <v>2166</v>
      </c>
      <c r="C96" s="2">
        <v>250</v>
      </c>
      <c r="D96" s="2">
        <v>124</v>
      </c>
      <c r="E96" s="2">
        <v>72</v>
      </c>
      <c r="F96" s="2">
        <v>56</v>
      </c>
      <c r="G96" s="21">
        <f t="shared" si="15"/>
        <v>1.984</v>
      </c>
      <c r="H96" s="20">
        <f t="shared" si="11"/>
        <v>2.2320000000000002</v>
      </c>
      <c r="I96" s="20">
        <f t="shared" si="12"/>
        <v>1.984</v>
      </c>
      <c r="J96" s="75">
        <f t="shared" si="13"/>
        <v>1.3720000000000001</v>
      </c>
      <c r="K96" s="765"/>
      <c r="L96" s="20"/>
      <c r="M96" s="20"/>
      <c r="N96" s="20"/>
      <c r="O96" s="20"/>
      <c r="P96" s="20"/>
      <c r="Q96" s="21"/>
      <c r="R96" s="22">
        <f t="shared" si="14"/>
        <v>124</v>
      </c>
      <c r="S96" s="20">
        <v>1</v>
      </c>
      <c r="T96" s="20"/>
      <c r="U96" s="22"/>
      <c r="V96" s="20"/>
    </row>
    <row r="97" spans="1:22" s="294" customFormat="1">
      <c r="A97" s="2" t="s">
        <v>2065</v>
      </c>
      <c r="B97" s="2" t="s">
        <v>2166</v>
      </c>
      <c r="C97" s="2">
        <v>250</v>
      </c>
      <c r="D97" s="2">
        <v>124</v>
      </c>
      <c r="E97" s="2">
        <v>84</v>
      </c>
      <c r="F97" s="2">
        <v>68</v>
      </c>
      <c r="G97" s="21">
        <f t="shared" si="15"/>
        <v>2.3559999999999999</v>
      </c>
      <c r="H97" s="20">
        <f t="shared" si="11"/>
        <v>2.6040000000000001</v>
      </c>
      <c r="I97" s="20">
        <f t="shared" si="12"/>
        <v>2.3559999999999999</v>
      </c>
      <c r="J97" s="75">
        <f t="shared" si="13"/>
        <v>1.768</v>
      </c>
      <c r="K97" s="765"/>
      <c r="L97" s="20"/>
      <c r="M97" s="20"/>
      <c r="N97" s="20"/>
      <c r="O97" s="20"/>
      <c r="P97" s="20"/>
      <c r="Q97" s="21"/>
      <c r="R97" s="22">
        <f t="shared" si="14"/>
        <v>124</v>
      </c>
      <c r="S97" s="20">
        <v>1</v>
      </c>
      <c r="T97" s="20"/>
      <c r="U97" s="22"/>
      <c r="V97" s="20"/>
    </row>
    <row r="98" spans="1:22" s="294" customFormat="1">
      <c r="A98" s="2" t="s">
        <v>571</v>
      </c>
      <c r="B98" s="2" t="s">
        <v>2166</v>
      </c>
      <c r="C98" s="2">
        <v>250</v>
      </c>
      <c r="D98" s="2">
        <v>124</v>
      </c>
      <c r="E98" s="2">
        <v>76</v>
      </c>
      <c r="F98" s="2">
        <v>52</v>
      </c>
      <c r="G98" s="21">
        <f t="shared" si="15"/>
        <v>1.984</v>
      </c>
      <c r="H98" s="20">
        <f t="shared" si="11"/>
        <v>2.3559999999999999</v>
      </c>
      <c r="I98" s="20">
        <f t="shared" si="12"/>
        <v>1.984</v>
      </c>
      <c r="J98" s="75">
        <f t="shared" si="13"/>
        <v>1.3</v>
      </c>
      <c r="K98" s="765"/>
      <c r="L98" s="20"/>
      <c r="M98" s="20"/>
      <c r="N98" s="20"/>
      <c r="O98" s="20"/>
      <c r="P98" s="20"/>
      <c r="Q98" s="21"/>
      <c r="R98" s="22">
        <f t="shared" si="14"/>
        <v>124</v>
      </c>
      <c r="S98" s="20">
        <v>1</v>
      </c>
      <c r="T98" s="20"/>
      <c r="U98" s="22"/>
      <c r="V98" s="20"/>
    </row>
    <row r="99" spans="1:22" s="294" customFormat="1">
      <c r="A99" s="2" t="s">
        <v>2066</v>
      </c>
      <c r="B99" s="2" t="s">
        <v>2166</v>
      </c>
      <c r="C99" s="2">
        <v>250</v>
      </c>
      <c r="D99" s="2">
        <v>124</v>
      </c>
      <c r="E99" s="2">
        <v>88</v>
      </c>
      <c r="F99" s="2">
        <v>64</v>
      </c>
      <c r="G99" s="21">
        <f t="shared" si="15"/>
        <v>2.3559999999999999</v>
      </c>
      <c r="H99" s="20">
        <f t="shared" si="11"/>
        <v>2.7280000000000002</v>
      </c>
      <c r="I99" s="20">
        <f t="shared" si="12"/>
        <v>2.3559999999999999</v>
      </c>
      <c r="J99" s="75">
        <f t="shared" si="13"/>
        <v>1.696</v>
      </c>
      <c r="K99" s="765"/>
      <c r="L99" s="20"/>
      <c r="M99" s="20"/>
      <c r="N99" s="20"/>
      <c r="O99" s="20"/>
      <c r="P99" s="20"/>
      <c r="Q99" s="21"/>
      <c r="R99" s="22">
        <f t="shared" si="14"/>
        <v>124</v>
      </c>
      <c r="S99" s="20">
        <v>1</v>
      </c>
      <c r="T99" s="20"/>
      <c r="U99" s="22"/>
      <c r="V99" s="20"/>
    </row>
    <row r="100" spans="1:22" s="294" customFormat="1">
      <c r="A100" s="2" t="s">
        <v>572</v>
      </c>
      <c r="B100" s="2" t="s">
        <v>2166</v>
      </c>
      <c r="C100" s="2">
        <v>250</v>
      </c>
      <c r="D100" s="2">
        <v>124</v>
      </c>
      <c r="E100" s="2">
        <v>77</v>
      </c>
      <c r="F100" s="2">
        <v>51</v>
      </c>
      <c r="G100" s="21">
        <f t="shared" si="15"/>
        <v>1.984</v>
      </c>
      <c r="H100" s="20">
        <f t="shared" si="11"/>
        <v>2.387</v>
      </c>
      <c r="I100" s="20">
        <f t="shared" si="12"/>
        <v>1.984</v>
      </c>
      <c r="J100" s="75">
        <f t="shared" si="13"/>
        <v>1.2809999999999999</v>
      </c>
      <c r="K100" s="765"/>
      <c r="L100" s="20"/>
      <c r="M100" s="20"/>
      <c r="N100" s="20"/>
      <c r="O100" s="20"/>
      <c r="P100" s="20"/>
      <c r="Q100" s="21"/>
      <c r="R100" s="22">
        <f t="shared" si="14"/>
        <v>124</v>
      </c>
      <c r="S100" s="20">
        <v>1</v>
      </c>
      <c r="T100" s="20"/>
      <c r="U100" s="22"/>
      <c r="V100" s="20"/>
    </row>
    <row r="101" spans="1:22" s="294" customFormat="1">
      <c r="A101" s="2" t="s">
        <v>573</v>
      </c>
      <c r="B101" s="2" t="s">
        <v>2166</v>
      </c>
      <c r="C101" s="2">
        <v>250</v>
      </c>
      <c r="D101" s="2">
        <v>124</v>
      </c>
      <c r="E101" s="2">
        <v>83</v>
      </c>
      <c r="F101" s="2">
        <v>45</v>
      </c>
      <c r="G101" s="21">
        <f t="shared" si="15"/>
        <v>1.984</v>
      </c>
      <c r="H101" s="20">
        <f t="shared" si="11"/>
        <v>2.573</v>
      </c>
      <c r="I101" s="20">
        <f t="shared" si="12"/>
        <v>1.984</v>
      </c>
      <c r="J101" s="75">
        <f t="shared" si="13"/>
        <v>1.1639999999999999</v>
      </c>
      <c r="K101" s="765"/>
      <c r="L101" s="20"/>
      <c r="M101" s="20"/>
      <c r="N101" s="20"/>
      <c r="O101" s="20"/>
      <c r="P101" s="20"/>
      <c r="Q101" s="21"/>
      <c r="R101" s="22">
        <f t="shared" si="14"/>
        <v>124</v>
      </c>
      <c r="S101" s="20">
        <v>1</v>
      </c>
      <c r="T101" s="20"/>
      <c r="U101" s="22"/>
      <c r="V101" s="20"/>
    </row>
    <row r="102" spans="1:22" s="294" customFormat="1">
      <c r="A102" s="2" t="s">
        <v>574</v>
      </c>
      <c r="B102" s="2" t="s">
        <v>2166</v>
      </c>
      <c r="C102" s="2">
        <v>250</v>
      </c>
      <c r="D102" s="2">
        <v>124</v>
      </c>
      <c r="E102" s="2">
        <v>89</v>
      </c>
      <c r="F102" s="2">
        <v>39</v>
      </c>
      <c r="G102" s="21">
        <f t="shared" si="15"/>
        <v>1.984</v>
      </c>
      <c r="H102" s="20">
        <f t="shared" si="11"/>
        <v>2.7589999999999999</v>
      </c>
      <c r="I102" s="20">
        <f t="shared" si="12"/>
        <v>1.984</v>
      </c>
      <c r="J102" s="75">
        <f t="shared" si="13"/>
        <v>1.038</v>
      </c>
      <c r="K102" s="765"/>
      <c r="L102" s="20"/>
      <c r="M102" s="20"/>
      <c r="N102" s="20"/>
      <c r="O102" s="20"/>
      <c r="P102" s="20"/>
      <c r="Q102" s="21"/>
      <c r="R102" s="22">
        <f t="shared" si="14"/>
        <v>124</v>
      </c>
      <c r="S102" s="20">
        <v>1</v>
      </c>
      <c r="T102" s="20"/>
      <c r="U102" s="22"/>
      <c r="V102" s="20"/>
    </row>
    <row r="103" spans="1:22" s="294" customFormat="1">
      <c r="A103" s="2" t="s">
        <v>2067</v>
      </c>
      <c r="B103" s="2" t="s">
        <v>2166</v>
      </c>
      <c r="C103" s="2">
        <v>250</v>
      </c>
      <c r="D103" s="2">
        <v>124</v>
      </c>
      <c r="E103" s="2">
        <v>101</v>
      </c>
      <c r="F103" s="2">
        <v>51</v>
      </c>
      <c r="G103" s="21">
        <f t="shared" si="15"/>
        <v>2.3559999999999999</v>
      </c>
      <c r="H103" s="20">
        <f t="shared" si="11"/>
        <v>3.1309999999999998</v>
      </c>
      <c r="I103" s="20">
        <f t="shared" si="12"/>
        <v>2.3559999999999999</v>
      </c>
      <c r="J103" s="75">
        <f t="shared" si="13"/>
        <v>1.4339999999999999</v>
      </c>
      <c r="K103" s="765"/>
      <c r="L103" s="20"/>
      <c r="M103" s="20"/>
      <c r="N103" s="20"/>
      <c r="O103" s="20"/>
      <c r="P103" s="20"/>
      <c r="Q103" s="21"/>
      <c r="R103" s="22">
        <f t="shared" si="14"/>
        <v>124</v>
      </c>
      <c r="S103" s="20">
        <v>1</v>
      </c>
      <c r="T103" s="20"/>
      <c r="U103" s="22"/>
      <c r="V103" s="20"/>
    </row>
    <row r="104" spans="1:22" s="294" customFormat="1">
      <c r="A104" s="2" t="s">
        <v>448</v>
      </c>
      <c r="B104" s="2" t="s">
        <v>2166</v>
      </c>
      <c r="C104" s="2">
        <v>250</v>
      </c>
      <c r="D104" s="2">
        <v>250</v>
      </c>
      <c r="E104" s="2">
        <v>66</v>
      </c>
      <c r="F104" s="2">
        <v>62</v>
      </c>
      <c r="G104" s="21">
        <f t="shared" si="15"/>
        <v>4</v>
      </c>
      <c r="H104" s="20">
        <f t="shared" si="11"/>
        <v>4.125</v>
      </c>
      <c r="I104" s="20">
        <f t="shared" si="12"/>
        <v>4</v>
      </c>
      <c r="J104" s="75">
        <f t="shared" si="13"/>
        <v>2.4489999999999998</v>
      </c>
      <c r="K104" s="765"/>
      <c r="L104" s="20"/>
      <c r="M104" s="20"/>
      <c r="N104" s="20"/>
      <c r="O104" s="20"/>
      <c r="P104" s="20"/>
      <c r="Q104" s="21"/>
      <c r="R104" s="22">
        <f t="shared" si="14"/>
        <v>250</v>
      </c>
      <c r="S104" s="20">
        <v>1</v>
      </c>
      <c r="T104" s="20"/>
      <c r="U104" s="22"/>
      <c r="V104" s="20"/>
    </row>
    <row r="105" spans="1:22" s="294" customFormat="1">
      <c r="A105" s="2" t="s">
        <v>2068</v>
      </c>
      <c r="B105" s="2" t="s">
        <v>2166</v>
      </c>
      <c r="C105" s="2">
        <v>250</v>
      </c>
      <c r="D105" s="2">
        <v>250</v>
      </c>
      <c r="E105" s="2">
        <v>78</v>
      </c>
      <c r="F105" s="2">
        <v>74</v>
      </c>
      <c r="G105" s="21">
        <f t="shared" si="15"/>
        <v>4.75</v>
      </c>
      <c r="H105" s="20">
        <f t="shared" si="11"/>
        <v>4.875</v>
      </c>
      <c r="I105" s="20">
        <f t="shared" si="12"/>
        <v>4.75</v>
      </c>
      <c r="J105" s="75">
        <f t="shared" si="13"/>
        <v>3.0339999999999998</v>
      </c>
      <c r="K105" s="765"/>
      <c r="L105" s="20"/>
      <c r="M105" s="20"/>
      <c r="N105" s="20"/>
      <c r="O105" s="20"/>
      <c r="P105" s="20"/>
      <c r="Q105" s="21"/>
      <c r="R105" s="22">
        <f t="shared" si="14"/>
        <v>250</v>
      </c>
      <c r="S105" s="20">
        <v>1</v>
      </c>
      <c r="T105" s="20"/>
      <c r="U105" s="22"/>
      <c r="V105" s="20"/>
    </row>
    <row r="106" spans="1:22" s="294" customFormat="1">
      <c r="A106" s="2" t="s">
        <v>575</v>
      </c>
      <c r="B106" s="2" t="s">
        <v>2166</v>
      </c>
      <c r="C106" s="2">
        <v>250</v>
      </c>
      <c r="D106" s="2">
        <v>250</v>
      </c>
      <c r="E106" s="2">
        <v>67</v>
      </c>
      <c r="F106" s="2">
        <v>61</v>
      </c>
      <c r="G106" s="21">
        <f t="shared" si="15"/>
        <v>4</v>
      </c>
      <c r="H106" s="20">
        <f t="shared" si="11"/>
        <v>4.1879999999999997</v>
      </c>
      <c r="I106" s="20">
        <f t="shared" si="12"/>
        <v>4</v>
      </c>
      <c r="J106" s="75">
        <f t="shared" si="13"/>
        <v>2.4169999999999998</v>
      </c>
      <c r="K106" s="765"/>
      <c r="L106" s="20"/>
      <c r="M106" s="20"/>
      <c r="N106" s="20"/>
      <c r="O106" s="20"/>
      <c r="P106" s="20"/>
      <c r="Q106" s="21"/>
      <c r="R106" s="22">
        <f t="shared" si="14"/>
        <v>250</v>
      </c>
      <c r="S106" s="20">
        <v>1</v>
      </c>
      <c r="T106" s="20"/>
      <c r="U106" s="22"/>
      <c r="V106" s="20"/>
    </row>
    <row r="107" spans="1:22" s="294" customFormat="1">
      <c r="A107" s="2" t="s">
        <v>576</v>
      </c>
      <c r="B107" s="2" t="s">
        <v>2166</v>
      </c>
      <c r="C107" s="2">
        <v>250</v>
      </c>
      <c r="D107" s="2">
        <v>250</v>
      </c>
      <c r="E107" s="2">
        <v>68</v>
      </c>
      <c r="F107" s="2">
        <v>60</v>
      </c>
      <c r="G107" s="21">
        <f t="shared" si="15"/>
        <v>4</v>
      </c>
      <c r="H107" s="20">
        <f t="shared" si="11"/>
        <v>4.25</v>
      </c>
      <c r="I107" s="20">
        <f t="shared" si="12"/>
        <v>4</v>
      </c>
      <c r="J107" s="75">
        <f t="shared" si="13"/>
        <v>2.3849999999999998</v>
      </c>
      <c r="K107" s="765"/>
      <c r="L107" s="20"/>
      <c r="M107" s="20"/>
      <c r="N107" s="20"/>
      <c r="O107" s="20"/>
      <c r="P107" s="20"/>
      <c r="Q107" s="21"/>
      <c r="R107" s="22">
        <f t="shared" si="14"/>
        <v>250</v>
      </c>
      <c r="S107" s="20">
        <v>1</v>
      </c>
      <c r="T107" s="20"/>
      <c r="U107" s="22"/>
      <c r="V107" s="20"/>
    </row>
    <row r="108" spans="1:22" s="294" customFormat="1">
      <c r="A108" s="2" t="s">
        <v>449</v>
      </c>
      <c r="B108" s="2" t="s">
        <v>2166</v>
      </c>
      <c r="C108" s="2">
        <v>250</v>
      </c>
      <c r="D108" s="2">
        <v>250</v>
      </c>
      <c r="E108" s="2">
        <v>69</v>
      </c>
      <c r="F108" s="2">
        <v>59</v>
      </c>
      <c r="G108" s="21">
        <f t="shared" si="15"/>
        <v>4</v>
      </c>
      <c r="H108" s="20">
        <f t="shared" si="11"/>
        <v>4.3129999999999997</v>
      </c>
      <c r="I108" s="20">
        <f t="shared" si="12"/>
        <v>4</v>
      </c>
      <c r="J108" s="75">
        <f t="shared" si="13"/>
        <v>2.3530000000000002</v>
      </c>
      <c r="K108" s="765"/>
      <c r="L108" s="20"/>
      <c r="M108" s="20"/>
      <c r="N108" s="20"/>
      <c r="O108" s="20"/>
      <c r="P108" s="20"/>
      <c r="Q108" s="23"/>
      <c r="R108" s="22">
        <f t="shared" si="14"/>
        <v>250</v>
      </c>
      <c r="S108" s="20">
        <v>1</v>
      </c>
      <c r="T108" s="20"/>
      <c r="U108" s="22"/>
      <c r="V108" s="20"/>
    </row>
    <row r="109" spans="1:22" s="294" customFormat="1">
      <c r="A109" s="2" t="s">
        <v>2069</v>
      </c>
      <c r="B109" s="2" t="s">
        <v>2166</v>
      </c>
      <c r="C109" s="2">
        <v>250</v>
      </c>
      <c r="D109" s="2">
        <v>250</v>
      </c>
      <c r="E109" s="2">
        <v>81</v>
      </c>
      <c r="F109" s="2">
        <v>71</v>
      </c>
      <c r="G109" s="21">
        <f t="shared" si="15"/>
        <v>4.75</v>
      </c>
      <c r="H109" s="20">
        <f t="shared" si="11"/>
        <v>5.0629999999999997</v>
      </c>
      <c r="I109" s="20">
        <f t="shared" si="12"/>
        <v>4.75</v>
      </c>
      <c r="J109" s="75">
        <f t="shared" si="13"/>
        <v>2.9380000000000002</v>
      </c>
      <c r="K109" s="765"/>
      <c r="L109" s="20"/>
      <c r="M109" s="20"/>
      <c r="N109" s="20"/>
      <c r="O109" s="20"/>
      <c r="P109" s="20"/>
      <c r="Q109" s="23"/>
      <c r="R109" s="22">
        <f t="shared" si="14"/>
        <v>250</v>
      </c>
      <c r="S109" s="20">
        <v>1</v>
      </c>
      <c r="T109" s="20"/>
      <c r="U109" s="22"/>
      <c r="V109" s="20"/>
    </row>
    <row r="110" spans="1:22" s="294" customFormat="1">
      <c r="A110" s="2" t="s">
        <v>577</v>
      </c>
      <c r="B110" s="2" t="s">
        <v>2166</v>
      </c>
      <c r="C110" s="2">
        <v>250</v>
      </c>
      <c r="D110" s="2">
        <v>250</v>
      </c>
      <c r="E110" s="2">
        <v>70</v>
      </c>
      <c r="F110" s="2">
        <v>58</v>
      </c>
      <c r="G110" s="21">
        <f t="shared" si="15"/>
        <v>4</v>
      </c>
      <c r="H110" s="20">
        <f t="shared" si="11"/>
        <v>4.375</v>
      </c>
      <c r="I110" s="20">
        <f t="shared" si="12"/>
        <v>4</v>
      </c>
      <c r="J110" s="75">
        <f t="shared" si="13"/>
        <v>2.3199999999999998</v>
      </c>
      <c r="K110" s="765"/>
      <c r="L110" s="20"/>
      <c r="M110" s="20"/>
      <c r="N110" s="20"/>
      <c r="O110" s="20"/>
      <c r="P110" s="20"/>
      <c r="Q110" s="23"/>
      <c r="R110" s="22">
        <f t="shared" si="14"/>
        <v>250</v>
      </c>
      <c r="S110" s="20">
        <v>1</v>
      </c>
      <c r="T110" s="20"/>
      <c r="U110" s="22"/>
      <c r="V110" s="20"/>
    </row>
    <row r="111" spans="1:22" s="294" customFormat="1">
      <c r="A111" s="2" t="s">
        <v>450</v>
      </c>
      <c r="B111" s="2" t="s">
        <v>2166</v>
      </c>
      <c r="C111" s="2">
        <v>250</v>
      </c>
      <c r="D111" s="2">
        <v>250</v>
      </c>
      <c r="E111" s="2">
        <v>72</v>
      </c>
      <c r="F111" s="2">
        <v>56</v>
      </c>
      <c r="G111" s="21">
        <f t="shared" si="15"/>
        <v>4</v>
      </c>
      <c r="H111" s="20">
        <f t="shared" si="11"/>
        <v>4.5</v>
      </c>
      <c r="I111" s="20">
        <f t="shared" si="12"/>
        <v>4</v>
      </c>
      <c r="J111" s="75">
        <f t="shared" si="13"/>
        <v>2.254</v>
      </c>
      <c r="K111" s="765"/>
      <c r="L111" s="20"/>
      <c r="M111" s="20"/>
      <c r="N111" s="20"/>
      <c r="O111" s="20"/>
      <c r="P111" s="20"/>
      <c r="Q111" s="23"/>
      <c r="R111" s="22">
        <f t="shared" si="14"/>
        <v>250</v>
      </c>
      <c r="S111" s="20">
        <v>1</v>
      </c>
      <c r="T111" s="20"/>
      <c r="U111" s="22"/>
      <c r="V111" s="20"/>
    </row>
    <row r="112" spans="1:22" s="294" customFormat="1">
      <c r="A112" s="2" t="s">
        <v>2070</v>
      </c>
      <c r="B112" s="2" t="s">
        <v>2166</v>
      </c>
      <c r="C112" s="2">
        <v>250</v>
      </c>
      <c r="D112" s="2">
        <v>250</v>
      </c>
      <c r="E112" s="2">
        <v>84</v>
      </c>
      <c r="F112" s="2">
        <v>68</v>
      </c>
      <c r="G112" s="21">
        <f t="shared" si="15"/>
        <v>4.75</v>
      </c>
      <c r="H112" s="20">
        <f t="shared" si="11"/>
        <v>5.25</v>
      </c>
      <c r="I112" s="20">
        <f t="shared" si="12"/>
        <v>4.75</v>
      </c>
      <c r="J112" s="75">
        <f t="shared" si="13"/>
        <v>2.839</v>
      </c>
      <c r="K112" s="765"/>
      <c r="L112" s="20"/>
      <c r="M112" s="20"/>
      <c r="N112" s="20"/>
      <c r="O112" s="20"/>
      <c r="P112" s="20"/>
      <c r="Q112" s="23"/>
      <c r="R112" s="22">
        <f t="shared" si="14"/>
        <v>250</v>
      </c>
      <c r="S112" s="20">
        <v>1</v>
      </c>
      <c r="T112" s="20"/>
      <c r="U112" s="22"/>
      <c r="V112" s="20"/>
    </row>
    <row r="113" spans="1:22" s="294" customFormat="1">
      <c r="A113" s="2" t="s">
        <v>578</v>
      </c>
      <c r="B113" s="2" t="s">
        <v>2166</v>
      </c>
      <c r="C113" s="2">
        <v>250</v>
      </c>
      <c r="D113" s="2">
        <v>250</v>
      </c>
      <c r="E113" s="2">
        <v>76</v>
      </c>
      <c r="F113" s="2">
        <v>52</v>
      </c>
      <c r="G113" s="21">
        <f t="shared" si="15"/>
        <v>4</v>
      </c>
      <c r="H113" s="20">
        <f t="shared" si="11"/>
        <v>4.75</v>
      </c>
      <c r="I113" s="20">
        <f t="shared" si="12"/>
        <v>4</v>
      </c>
      <c r="J113" s="75">
        <f t="shared" si="13"/>
        <v>2.1190000000000002</v>
      </c>
      <c r="K113" s="765"/>
      <c r="L113" s="20"/>
      <c r="M113" s="20"/>
      <c r="N113" s="20"/>
      <c r="O113" s="20"/>
      <c r="P113" s="20"/>
      <c r="Q113" s="23"/>
      <c r="R113" s="22">
        <f t="shared" si="14"/>
        <v>250</v>
      </c>
      <c r="S113" s="20">
        <v>1</v>
      </c>
      <c r="T113" s="20"/>
      <c r="U113" s="22"/>
      <c r="V113" s="20"/>
    </row>
    <row r="114" spans="1:22" s="294" customFormat="1">
      <c r="A114" s="2" t="s">
        <v>2071</v>
      </c>
      <c r="B114" s="2" t="s">
        <v>2166</v>
      </c>
      <c r="C114" s="2">
        <v>250</v>
      </c>
      <c r="D114" s="2">
        <v>250</v>
      </c>
      <c r="E114" s="2">
        <v>88</v>
      </c>
      <c r="F114" s="2">
        <v>64</v>
      </c>
      <c r="G114" s="21">
        <f t="shared" si="15"/>
        <v>4.75</v>
      </c>
      <c r="H114" s="20">
        <f t="shared" si="11"/>
        <v>5.5</v>
      </c>
      <c r="I114" s="20">
        <f t="shared" si="12"/>
        <v>4.75</v>
      </c>
      <c r="J114" s="75">
        <f t="shared" si="13"/>
        <v>2.7040000000000002</v>
      </c>
      <c r="K114" s="765"/>
      <c r="L114" s="20"/>
      <c r="M114" s="20"/>
      <c r="N114" s="20"/>
      <c r="O114" s="20"/>
      <c r="P114" s="20"/>
      <c r="Q114" s="23"/>
      <c r="R114" s="22">
        <f t="shared" si="14"/>
        <v>250</v>
      </c>
      <c r="S114" s="20">
        <v>1</v>
      </c>
      <c r="T114" s="20"/>
      <c r="U114" s="22"/>
      <c r="V114" s="20"/>
    </row>
    <row r="115" spans="1:22" s="294" customFormat="1">
      <c r="A115" s="2" t="s">
        <v>579</v>
      </c>
      <c r="B115" s="2" t="s">
        <v>2166</v>
      </c>
      <c r="C115" s="2">
        <v>250</v>
      </c>
      <c r="D115" s="2">
        <v>250</v>
      </c>
      <c r="E115" s="2">
        <v>77</v>
      </c>
      <c r="F115" s="2">
        <v>51</v>
      </c>
      <c r="G115" s="21">
        <f t="shared" si="15"/>
        <v>4</v>
      </c>
      <c r="H115" s="20">
        <f t="shared" si="11"/>
        <v>4.8129999999999997</v>
      </c>
      <c r="I115" s="20">
        <f t="shared" si="12"/>
        <v>4</v>
      </c>
      <c r="J115" s="75">
        <f t="shared" si="13"/>
        <v>2.085</v>
      </c>
      <c r="K115" s="765"/>
      <c r="L115" s="20"/>
      <c r="M115" s="20"/>
      <c r="N115" s="20"/>
      <c r="O115" s="20"/>
      <c r="P115" s="20"/>
      <c r="Q115" s="23"/>
      <c r="R115" s="22">
        <f t="shared" si="14"/>
        <v>250</v>
      </c>
      <c r="S115" s="20">
        <v>1</v>
      </c>
      <c r="T115" s="20"/>
      <c r="U115" s="22"/>
      <c r="V115" s="20"/>
    </row>
    <row r="116" spans="1:22" s="294" customFormat="1">
      <c r="A116" s="2" t="s">
        <v>580</v>
      </c>
      <c r="B116" s="2" t="s">
        <v>2166</v>
      </c>
      <c r="C116" s="2">
        <v>250</v>
      </c>
      <c r="D116" s="2">
        <v>250</v>
      </c>
      <c r="E116" s="2">
        <v>83</v>
      </c>
      <c r="F116" s="2">
        <v>45</v>
      </c>
      <c r="G116" s="21">
        <f t="shared" si="15"/>
        <v>4</v>
      </c>
      <c r="H116" s="20">
        <f t="shared" si="11"/>
        <v>5.1879999999999997</v>
      </c>
      <c r="I116" s="20">
        <f t="shared" si="12"/>
        <v>4</v>
      </c>
      <c r="J116" s="75">
        <f t="shared" si="13"/>
        <v>1.873</v>
      </c>
      <c r="K116" s="765"/>
      <c r="L116" s="20"/>
      <c r="M116" s="20"/>
      <c r="N116" s="20"/>
      <c r="O116" s="20"/>
      <c r="P116" s="20"/>
      <c r="Q116" s="23"/>
      <c r="R116" s="22">
        <f t="shared" si="14"/>
        <v>250</v>
      </c>
      <c r="S116" s="20">
        <v>1</v>
      </c>
      <c r="T116" s="20"/>
      <c r="U116" s="22"/>
      <c r="V116" s="20"/>
    </row>
    <row r="117" spans="1:22" s="294" customFormat="1">
      <c r="A117" s="2" t="s">
        <v>581</v>
      </c>
      <c r="B117" s="2" t="s">
        <v>2166</v>
      </c>
      <c r="C117" s="2">
        <v>250</v>
      </c>
      <c r="D117" s="2">
        <v>250</v>
      </c>
      <c r="E117" s="2">
        <v>89</v>
      </c>
      <c r="F117" s="2">
        <v>39</v>
      </c>
      <c r="G117" s="21">
        <f t="shared" si="15"/>
        <v>4</v>
      </c>
      <c r="H117" s="20">
        <f t="shared" si="11"/>
        <v>5.5629999999999997</v>
      </c>
      <c r="I117" s="20">
        <f t="shared" si="12"/>
        <v>4</v>
      </c>
      <c r="J117" s="75">
        <f t="shared" si="13"/>
        <v>1.653</v>
      </c>
      <c r="K117" s="765"/>
      <c r="L117" s="20"/>
      <c r="M117" s="20"/>
      <c r="N117" s="20"/>
      <c r="O117" s="20"/>
      <c r="P117" s="20"/>
      <c r="Q117" s="23"/>
      <c r="R117" s="22">
        <f t="shared" si="14"/>
        <v>250</v>
      </c>
      <c r="S117" s="20">
        <v>1</v>
      </c>
      <c r="T117" s="20"/>
      <c r="U117" s="22"/>
      <c r="V117" s="20"/>
    </row>
    <row r="118" spans="1:22" s="294" customFormat="1">
      <c r="A118" s="2" t="s">
        <v>2072</v>
      </c>
      <c r="B118" s="2" t="s">
        <v>2166</v>
      </c>
      <c r="C118" s="2">
        <v>250</v>
      </c>
      <c r="D118" s="2">
        <v>250</v>
      </c>
      <c r="E118" s="2">
        <v>101</v>
      </c>
      <c r="F118" s="2">
        <v>51</v>
      </c>
      <c r="G118" s="21">
        <f t="shared" si="15"/>
        <v>4.75</v>
      </c>
      <c r="H118" s="20">
        <f t="shared" si="11"/>
        <v>6.3129999999999997</v>
      </c>
      <c r="I118" s="20">
        <f t="shared" si="12"/>
        <v>4.75</v>
      </c>
      <c r="J118" s="75">
        <f t="shared" si="13"/>
        <v>2.238</v>
      </c>
      <c r="K118" s="765"/>
      <c r="L118" s="20"/>
      <c r="M118" s="20"/>
      <c r="N118" s="20"/>
      <c r="O118" s="20"/>
      <c r="P118" s="20"/>
      <c r="Q118" s="23"/>
      <c r="R118" s="22">
        <f t="shared" si="14"/>
        <v>250</v>
      </c>
      <c r="S118" s="20">
        <v>1</v>
      </c>
      <c r="T118" s="20"/>
      <c r="U118" s="22"/>
      <c r="V118" s="20"/>
    </row>
    <row r="119" spans="1:22" s="294" customFormat="1">
      <c r="A119" s="2" t="s">
        <v>454</v>
      </c>
      <c r="B119" s="2" t="s">
        <v>2166</v>
      </c>
      <c r="C119" s="2">
        <v>300</v>
      </c>
      <c r="D119" s="2">
        <v>150</v>
      </c>
      <c r="E119" s="2">
        <v>85</v>
      </c>
      <c r="F119" s="2">
        <v>65</v>
      </c>
      <c r="G119" s="21">
        <f t="shared" si="15"/>
        <v>3.375</v>
      </c>
      <c r="H119" s="20">
        <f t="shared" si="11"/>
        <v>3.8250000000000002</v>
      </c>
      <c r="I119" s="20">
        <f t="shared" si="12"/>
        <v>3.375</v>
      </c>
      <c r="J119" s="75">
        <f t="shared" si="13"/>
        <v>2.2909999999999999</v>
      </c>
      <c r="K119" s="765"/>
      <c r="L119" s="20"/>
      <c r="M119" s="20"/>
      <c r="N119" s="20"/>
      <c r="O119" s="20"/>
      <c r="P119" s="20"/>
      <c r="Q119" s="23"/>
      <c r="R119" s="22">
        <f t="shared" si="14"/>
        <v>150</v>
      </c>
      <c r="S119" s="20">
        <v>1</v>
      </c>
      <c r="T119" s="20"/>
      <c r="U119" s="22"/>
      <c r="V119" s="20"/>
    </row>
    <row r="120" spans="1:22" s="294" customFormat="1">
      <c r="A120" s="2" t="s">
        <v>452</v>
      </c>
      <c r="B120" s="2" t="s">
        <v>2166</v>
      </c>
      <c r="C120" s="2">
        <v>300</v>
      </c>
      <c r="D120" s="2">
        <v>150</v>
      </c>
      <c r="E120" s="2">
        <v>71</v>
      </c>
      <c r="F120" s="2">
        <v>65</v>
      </c>
      <c r="G120" s="21">
        <f t="shared" si="15"/>
        <v>3.06</v>
      </c>
      <c r="H120" s="20">
        <f t="shared" si="11"/>
        <v>3.1949999999999998</v>
      </c>
      <c r="I120" s="20">
        <f t="shared" si="12"/>
        <v>3.06</v>
      </c>
      <c r="J120" s="75">
        <f t="shared" si="13"/>
        <v>2.1549999999999998</v>
      </c>
      <c r="K120" s="765"/>
      <c r="L120" s="20"/>
      <c r="M120" s="20"/>
      <c r="N120" s="20"/>
      <c r="O120" s="20"/>
      <c r="P120" s="20"/>
      <c r="Q120" s="23"/>
      <c r="R120" s="22">
        <f t="shared" si="14"/>
        <v>150</v>
      </c>
      <c r="S120" s="20">
        <v>1</v>
      </c>
      <c r="T120" s="20"/>
      <c r="U120" s="22"/>
      <c r="V120" s="20"/>
    </row>
    <row r="121" spans="1:22" s="294" customFormat="1">
      <c r="A121" s="2" t="s">
        <v>451</v>
      </c>
      <c r="B121" s="2" t="s">
        <v>2166</v>
      </c>
      <c r="C121" s="2">
        <v>300</v>
      </c>
      <c r="D121" s="2">
        <v>150</v>
      </c>
      <c r="E121" s="2">
        <v>69</v>
      </c>
      <c r="F121" s="2">
        <v>65</v>
      </c>
      <c r="G121" s="21">
        <f t="shared" si="15"/>
        <v>3.0150000000000001</v>
      </c>
      <c r="H121" s="20">
        <f t="shared" si="11"/>
        <v>3.105</v>
      </c>
      <c r="I121" s="20">
        <f t="shared" si="12"/>
        <v>3.0150000000000001</v>
      </c>
      <c r="J121" s="75">
        <f t="shared" si="13"/>
        <v>2.1349999999999998</v>
      </c>
      <c r="K121" s="765"/>
      <c r="L121" s="20"/>
      <c r="M121" s="20"/>
      <c r="N121" s="20"/>
      <c r="O121" s="20"/>
      <c r="P121" s="20"/>
      <c r="Q121" s="23"/>
      <c r="R121" s="22">
        <f t="shared" si="14"/>
        <v>150</v>
      </c>
      <c r="S121" s="20">
        <v>1</v>
      </c>
      <c r="T121" s="20"/>
      <c r="U121" s="22"/>
      <c r="V121" s="20"/>
    </row>
    <row r="122" spans="1:22" s="294" customFormat="1">
      <c r="A122" s="2" t="s">
        <v>469</v>
      </c>
      <c r="B122" s="2" t="s">
        <v>2166</v>
      </c>
      <c r="C122" s="2">
        <v>375</v>
      </c>
      <c r="D122" s="2">
        <v>150</v>
      </c>
      <c r="E122" s="2">
        <v>90</v>
      </c>
      <c r="F122" s="2">
        <v>65</v>
      </c>
      <c r="G122" s="21">
        <f t="shared" si="15"/>
        <v>4.359375</v>
      </c>
      <c r="H122" s="20">
        <f t="shared" si="11"/>
        <v>5.0629999999999997</v>
      </c>
      <c r="I122" s="20">
        <f t="shared" si="12"/>
        <v>4.359</v>
      </c>
      <c r="J122" s="75">
        <f t="shared" si="13"/>
        <v>2.9249999999999998</v>
      </c>
      <c r="K122" s="765"/>
      <c r="L122" s="20"/>
      <c r="M122" s="20"/>
      <c r="N122" s="20"/>
      <c r="O122" s="20"/>
      <c r="P122" s="20"/>
      <c r="Q122" s="23"/>
      <c r="R122" s="22">
        <f t="shared" si="14"/>
        <v>150</v>
      </c>
      <c r="S122" s="20">
        <v>1</v>
      </c>
      <c r="T122" s="20"/>
      <c r="U122" s="22"/>
      <c r="V122" s="20"/>
    </row>
    <row r="123" spans="1:22" s="294" customFormat="1">
      <c r="A123" s="2" t="s">
        <v>467</v>
      </c>
      <c r="B123" s="2" t="s">
        <v>2166</v>
      </c>
      <c r="C123" s="2">
        <v>375</v>
      </c>
      <c r="D123" s="2">
        <v>150</v>
      </c>
      <c r="E123" s="2">
        <v>73</v>
      </c>
      <c r="F123" s="2">
        <v>65</v>
      </c>
      <c r="G123" s="21">
        <f t="shared" si="15"/>
        <v>3.8812500000000001</v>
      </c>
      <c r="H123" s="20">
        <f t="shared" si="11"/>
        <v>4.1059999999999999</v>
      </c>
      <c r="I123" s="20">
        <f t="shared" si="12"/>
        <v>3.8809999999999998</v>
      </c>
      <c r="J123" s="75">
        <f t="shared" si="13"/>
        <v>2.718</v>
      </c>
      <c r="K123" s="765"/>
      <c r="L123" s="20"/>
      <c r="M123" s="20"/>
      <c r="N123" s="20"/>
      <c r="O123" s="20"/>
      <c r="P123" s="20"/>
      <c r="Q123" s="23"/>
      <c r="R123" s="22">
        <f t="shared" si="14"/>
        <v>150</v>
      </c>
      <c r="S123" s="20">
        <v>1</v>
      </c>
      <c r="T123" s="20"/>
      <c r="U123" s="22"/>
      <c r="V123" s="20"/>
    </row>
    <row r="124" spans="1:22" s="294" customFormat="1" ht="13.8" thickBot="1">
      <c r="A124" s="2" t="s">
        <v>466</v>
      </c>
      <c r="B124" s="2" t="s">
        <v>2166</v>
      </c>
      <c r="C124" s="2">
        <v>375</v>
      </c>
      <c r="D124" s="2">
        <v>150</v>
      </c>
      <c r="E124" s="2">
        <v>70</v>
      </c>
      <c r="F124" s="2">
        <v>65</v>
      </c>
      <c r="G124" s="21">
        <f t="shared" si="15"/>
        <v>3.796875</v>
      </c>
      <c r="H124" s="20">
        <f t="shared" si="11"/>
        <v>3.9380000000000002</v>
      </c>
      <c r="I124" s="20">
        <f t="shared" si="12"/>
        <v>3.7970000000000002</v>
      </c>
      <c r="J124" s="75">
        <f t="shared" si="13"/>
        <v>2.681</v>
      </c>
      <c r="K124" s="765"/>
      <c r="L124" s="20"/>
      <c r="M124" s="20"/>
      <c r="N124" s="20"/>
      <c r="O124" s="20"/>
      <c r="P124" s="20"/>
      <c r="Q124" s="23"/>
      <c r="R124" s="22">
        <f t="shared" si="14"/>
        <v>150</v>
      </c>
      <c r="S124" s="20">
        <v>1</v>
      </c>
      <c r="T124" s="20"/>
      <c r="U124" s="22"/>
      <c r="V124" s="20"/>
    </row>
    <row r="125" spans="1:22" s="63" customFormat="1" ht="25.2" thickBot="1">
      <c r="A125" s="64" t="s">
        <v>582</v>
      </c>
      <c r="B125" s="65"/>
      <c r="C125" s="65"/>
      <c r="D125" s="65"/>
      <c r="E125" s="65"/>
      <c r="F125" s="65"/>
      <c r="G125" s="101"/>
      <c r="H125" s="65"/>
      <c r="I125" s="65"/>
      <c r="J125" s="66"/>
      <c r="K125" s="59"/>
      <c r="L125" s="60"/>
      <c r="M125" s="60"/>
      <c r="N125" s="60"/>
      <c r="O125" s="60"/>
      <c r="P125" s="60"/>
      <c r="Q125" s="61"/>
      <c r="R125" s="62"/>
      <c r="S125" s="60"/>
      <c r="T125" s="60"/>
      <c r="U125" s="62"/>
      <c r="V125" s="60"/>
    </row>
    <row r="126" spans="1:22" s="294" customFormat="1" ht="12.75" customHeight="1" thickBot="1">
      <c r="A126" s="594" t="s">
        <v>2407</v>
      </c>
      <c r="B126" s="462" t="s">
        <v>22</v>
      </c>
      <c r="C126" s="462">
        <v>230</v>
      </c>
      <c r="D126" s="462">
        <v>64</v>
      </c>
      <c r="E126" s="462">
        <v>114</v>
      </c>
      <c r="F126" s="462">
        <v>110</v>
      </c>
      <c r="G126" s="21">
        <f t="shared" ref="G126" si="16">IF(B126="","",AVERAGE(E126:F126)*D126*C126/10^6)</f>
        <v>1.6486400000000001</v>
      </c>
      <c r="H126" s="20">
        <f t="shared" ref="H126" si="17">ROUND(C126*D126*E126/10^6,3)</f>
        <v>1.6779999999999999</v>
      </c>
      <c r="I126" s="20">
        <f t="shared" ref="I126" si="18">IF(F126="","-",ROUND((E126+F126)*C126/2*D126/10^6,3))</f>
        <v>1.649</v>
      </c>
      <c r="J126" s="75">
        <f t="shared" ref="J126" si="19">IF(F126="","-",ROUND((D126+E126)*C126/2*F126/10^6,3))</f>
        <v>2.2519999999999998</v>
      </c>
      <c r="K126" s="59"/>
      <c r="L126" s="20"/>
      <c r="M126" s="20"/>
      <c r="N126" s="20"/>
      <c r="O126" s="20"/>
      <c r="P126" s="20"/>
      <c r="Q126" s="23"/>
      <c r="R126" s="22" t="s">
        <v>16</v>
      </c>
      <c r="S126" s="22">
        <v>2</v>
      </c>
      <c r="T126" s="20">
        <f t="shared" ref="T126:T191" si="20">(E126+U126)/2/(SIN(RADIANS((ATAN(((E126+U126)-(F126+U126))/2/C126)*180/PI()))))*2</f>
        <v>13225.499990548564</v>
      </c>
      <c r="U126" s="22">
        <v>1</v>
      </c>
      <c r="V126" s="20"/>
    </row>
    <row r="127" spans="1:22" s="294" customFormat="1" ht="12.75" customHeight="1">
      <c r="A127" s="293" t="s">
        <v>583</v>
      </c>
      <c r="B127" s="2" t="s">
        <v>22</v>
      </c>
      <c r="C127" s="2">
        <v>230</v>
      </c>
      <c r="D127" s="2">
        <v>114</v>
      </c>
      <c r="E127" s="2">
        <v>66</v>
      </c>
      <c r="F127" s="2">
        <v>62</v>
      </c>
      <c r="G127" s="21">
        <f t="shared" si="15"/>
        <v>1.67808</v>
      </c>
      <c r="H127" s="20">
        <f t="shared" ref="H127:H191" si="21">ROUND(C127*D127*E127/10^6,3)</f>
        <v>1.7310000000000001</v>
      </c>
      <c r="I127" s="20">
        <f t="shared" ref="I127:I191" si="22">IF(F127="","-",ROUND((E127+F127)*C127/2*D127/10^6,3))</f>
        <v>1.6779999999999999</v>
      </c>
      <c r="J127" s="75">
        <f t="shared" ref="J127:J191" si="23">IF(F127="","-",ROUND((D127+E127)*C127/2*F127/10^6,3))</f>
        <v>1.2829999999999999</v>
      </c>
      <c r="K127" s="766" t="s">
        <v>526</v>
      </c>
      <c r="L127" s="20"/>
      <c r="M127" s="20"/>
      <c r="N127" s="20"/>
      <c r="O127" s="20"/>
      <c r="P127" s="20"/>
      <c r="Q127" s="23"/>
      <c r="R127" s="22" t="s">
        <v>16</v>
      </c>
      <c r="S127" s="22" t="s">
        <v>16</v>
      </c>
      <c r="T127" s="20">
        <f t="shared" si="20"/>
        <v>7705.2912988413373</v>
      </c>
      <c r="U127" s="22">
        <v>1</v>
      </c>
      <c r="V127" s="20"/>
    </row>
    <row r="128" spans="1:22" s="294" customFormat="1" ht="12.75" customHeight="1">
      <c r="A128" s="293" t="s">
        <v>584</v>
      </c>
      <c r="B128" s="2" t="s">
        <v>22</v>
      </c>
      <c r="C128" s="2">
        <v>230</v>
      </c>
      <c r="D128" s="2">
        <v>114</v>
      </c>
      <c r="E128" s="2">
        <v>67</v>
      </c>
      <c r="F128" s="2">
        <v>61</v>
      </c>
      <c r="G128" s="21">
        <f t="shared" si="15"/>
        <v>1.67808</v>
      </c>
      <c r="H128" s="20">
        <f t="shared" si="21"/>
        <v>1.7569999999999999</v>
      </c>
      <c r="I128" s="20">
        <f t="shared" si="22"/>
        <v>1.6779999999999999</v>
      </c>
      <c r="J128" s="75">
        <f t="shared" si="23"/>
        <v>1.27</v>
      </c>
      <c r="K128" s="767"/>
      <c r="L128" s="20"/>
      <c r="M128" s="20"/>
      <c r="N128" s="20"/>
      <c r="O128" s="20"/>
      <c r="P128" s="20"/>
      <c r="Q128" s="23"/>
      <c r="R128" s="22" t="s">
        <v>16</v>
      </c>
      <c r="S128" s="22" t="s">
        <v>16</v>
      </c>
      <c r="T128" s="20">
        <f t="shared" si="20"/>
        <v>5213.7767927333107</v>
      </c>
      <c r="U128" s="22">
        <v>1</v>
      </c>
      <c r="V128" s="20"/>
    </row>
    <row r="129" spans="1:22" s="294" customFormat="1" ht="12.75" customHeight="1">
      <c r="A129" s="293" t="s">
        <v>2073</v>
      </c>
      <c r="B129" s="2" t="s">
        <v>22</v>
      </c>
      <c r="C129" s="2">
        <v>230</v>
      </c>
      <c r="D129" s="2">
        <v>114</v>
      </c>
      <c r="E129" s="2">
        <v>79</v>
      </c>
      <c r="F129" s="2">
        <v>73</v>
      </c>
      <c r="G129" s="21">
        <f t="shared" si="15"/>
        <v>1.99272</v>
      </c>
      <c r="H129" s="20">
        <f t="shared" si="21"/>
        <v>2.0710000000000002</v>
      </c>
      <c r="I129" s="20">
        <f t="shared" si="22"/>
        <v>1.9930000000000001</v>
      </c>
      <c r="J129" s="75">
        <f t="shared" si="23"/>
        <v>1.62</v>
      </c>
      <c r="K129" s="767"/>
      <c r="L129" s="20"/>
      <c r="M129" s="20"/>
      <c r="N129" s="20"/>
      <c r="O129" s="20"/>
      <c r="P129" s="20"/>
      <c r="Q129" s="23"/>
      <c r="R129" s="22" t="s">
        <v>16</v>
      </c>
      <c r="S129" s="22" t="s">
        <v>16</v>
      </c>
      <c r="T129" s="20">
        <f t="shared" si="20"/>
        <v>6133.8550502744838</v>
      </c>
      <c r="U129" s="22">
        <v>1</v>
      </c>
      <c r="V129" s="20"/>
    </row>
    <row r="130" spans="1:22" s="294" customFormat="1" ht="12.75" customHeight="1">
      <c r="A130" s="293" t="s">
        <v>585</v>
      </c>
      <c r="B130" s="2" t="s">
        <v>22</v>
      </c>
      <c r="C130" s="2">
        <v>230</v>
      </c>
      <c r="D130" s="2">
        <v>114</v>
      </c>
      <c r="E130" s="2">
        <v>69</v>
      </c>
      <c r="F130" s="2">
        <v>59</v>
      </c>
      <c r="G130" s="21">
        <f t="shared" si="15"/>
        <v>1.67808</v>
      </c>
      <c r="H130" s="20">
        <f t="shared" si="21"/>
        <v>1.8089999999999999</v>
      </c>
      <c r="I130" s="20">
        <f t="shared" si="22"/>
        <v>1.6779999999999999</v>
      </c>
      <c r="J130" s="75">
        <f t="shared" si="23"/>
        <v>1.242</v>
      </c>
      <c r="K130" s="767"/>
      <c r="L130" s="20"/>
      <c r="M130" s="20"/>
      <c r="N130" s="20"/>
      <c r="O130" s="20"/>
      <c r="P130" s="20"/>
      <c r="Q130" s="23"/>
      <c r="R130" s="22" t="s">
        <v>16</v>
      </c>
      <c r="S130" s="22" t="s">
        <v>16</v>
      </c>
      <c r="T130" s="20">
        <f t="shared" si="20"/>
        <v>3220.7607796916554</v>
      </c>
      <c r="U130" s="22">
        <v>1</v>
      </c>
      <c r="V130" s="20"/>
    </row>
    <row r="131" spans="1:22" s="294" customFormat="1" ht="12.75" customHeight="1">
      <c r="A131" s="293" t="s">
        <v>2074</v>
      </c>
      <c r="B131" s="2" t="s">
        <v>22</v>
      </c>
      <c r="C131" s="2">
        <v>230</v>
      </c>
      <c r="D131" s="2">
        <v>114</v>
      </c>
      <c r="E131" s="2">
        <v>81</v>
      </c>
      <c r="F131" s="2">
        <v>71</v>
      </c>
      <c r="G131" s="21">
        <f t="shared" si="15"/>
        <v>1.99272</v>
      </c>
      <c r="H131" s="20">
        <f t="shared" si="21"/>
        <v>2.1240000000000001</v>
      </c>
      <c r="I131" s="20">
        <f t="shared" si="22"/>
        <v>1.9930000000000001</v>
      </c>
      <c r="J131" s="75">
        <f t="shared" si="23"/>
        <v>1.5920000000000001</v>
      </c>
      <c r="K131" s="767"/>
      <c r="L131" s="20"/>
      <c r="M131" s="20"/>
      <c r="N131" s="20"/>
      <c r="O131" s="20"/>
      <c r="P131" s="20"/>
      <c r="Q131" s="23"/>
      <c r="R131" s="22" t="s">
        <v>16</v>
      </c>
      <c r="S131" s="22" t="s">
        <v>16</v>
      </c>
      <c r="T131" s="20">
        <f t="shared" si="20"/>
        <v>3772.8911990673678</v>
      </c>
      <c r="U131" s="22">
        <v>1</v>
      </c>
      <c r="V131" s="20"/>
    </row>
    <row r="132" spans="1:22" s="294" customFormat="1" ht="12.75" customHeight="1">
      <c r="A132" s="293" t="s">
        <v>586</v>
      </c>
      <c r="B132" s="2" t="s">
        <v>22</v>
      </c>
      <c r="C132" s="2">
        <v>230</v>
      </c>
      <c r="D132" s="2">
        <v>114</v>
      </c>
      <c r="E132" s="2">
        <v>72</v>
      </c>
      <c r="F132" s="2">
        <v>56</v>
      </c>
      <c r="G132" s="21">
        <f t="shared" si="15"/>
        <v>1.67808</v>
      </c>
      <c r="H132" s="20">
        <f t="shared" si="21"/>
        <v>1.8879999999999999</v>
      </c>
      <c r="I132" s="20">
        <f t="shared" si="22"/>
        <v>1.6779999999999999</v>
      </c>
      <c r="J132" s="75">
        <f t="shared" si="23"/>
        <v>1.198</v>
      </c>
      <c r="K132" s="767"/>
      <c r="L132" s="20"/>
      <c r="M132" s="20"/>
      <c r="N132" s="20"/>
      <c r="O132" s="20"/>
      <c r="P132" s="20"/>
      <c r="Q132" s="23"/>
      <c r="R132" s="22" t="s">
        <v>16</v>
      </c>
      <c r="S132" s="22" t="s">
        <v>16</v>
      </c>
      <c r="T132" s="20">
        <f t="shared" si="20"/>
        <v>2100.0191814600171</v>
      </c>
      <c r="U132" s="22">
        <v>1</v>
      </c>
      <c r="V132" s="20"/>
    </row>
    <row r="133" spans="1:22" s="294" customFormat="1" ht="12.75" customHeight="1">
      <c r="A133" s="293" t="s">
        <v>2075</v>
      </c>
      <c r="B133" s="2" t="s">
        <v>22</v>
      </c>
      <c r="C133" s="2">
        <v>230</v>
      </c>
      <c r="D133" s="2">
        <v>114</v>
      </c>
      <c r="E133" s="2">
        <v>84</v>
      </c>
      <c r="F133" s="2">
        <v>68</v>
      </c>
      <c r="G133" s="21">
        <f t="shared" si="15"/>
        <v>1.99272</v>
      </c>
      <c r="H133" s="20">
        <f t="shared" si="21"/>
        <v>2.202</v>
      </c>
      <c r="I133" s="20">
        <f t="shared" si="22"/>
        <v>1.9930000000000001</v>
      </c>
      <c r="J133" s="75">
        <f t="shared" si="23"/>
        <v>1.548</v>
      </c>
      <c r="K133" s="767"/>
      <c r="L133" s="20"/>
      <c r="M133" s="20"/>
      <c r="N133" s="20"/>
      <c r="O133" s="20"/>
      <c r="P133" s="20"/>
      <c r="Q133" s="23"/>
      <c r="R133" s="22" t="s">
        <v>16</v>
      </c>
      <c r="S133" s="22" t="s">
        <v>16</v>
      </c>
      <c r="T133" s="20">
        <f t="shared" si="20"/>
        <v>2445.2278140287872</v>
      </c>
      <c r="U133" s="22">
        <v>1</v>
      </c>
      <c r="V133" s="20"/>
    </row>
    <row r="134" spans="1:22" s="294" customFormat="1" ht="12.75" customHeight="1">
      <c r="A134" s="293" t="s">
        <v>587</v>
      </c>
      <c r="B134" s="2" t="s">
        <v>22</v>
      </c>
      <c r="C134" s="2">
        <v>230</v>
      </c>
      <c r="D134" s="2">
        <v>114</v>
      </c>
      <c r="E134" s="2">
        <v>76</v>
      </c>
      <c r="F134" s="2">
        <v>52</v>
      </c>
      <c r="G134" s="21">
        <f t="shared" si="15"/>
        <v>1.67808</v>
      </c>
      <c r="H134" s="20">
        <f t="shared" si="21"/>
        <v>1.9930000000000001</v>
      </c>
      <c r="I134" s="20">
        <f t="shared" si="22"/>
        <v>1.6779999999999999</v>
      </c>
      <c r="J134" s="75">
        <f t="shared" si="23"/>
        <v>1.1359999999999999</v>
      </c>
      <c r="K134" s="767"/>
      <c r="L134" s="20"/>
      <c r="M134" s="20"/>
      <c r="N134" s="20"/>
      <c r="O134" s="20"/>
      <c r="P134" s="20"/>
      <c r="Q134" s="23"/>
      <c r="R134" s="22" t="s">
        <v>16</v>
      </c>
      <c r="S134" s="22" t="s">
        <v>16</v>
      </c>
      <c r="T134" s="20">
        <f t="shared" si="20"/>
        <v>1477.8406638666356</v>
      </c>
      <c r="U134" s="22">
        <v>1</v>
      </c>
      <c r="V134" s="20"/>
    </row>
    <row r="135" spans="1:22" s="294" customFormat="1" ht="12.75" customHeight="1">
      <c r="A135" s="293" t="s">
        <v>2076</v>
      </c>
      <c r="B135" s="2" t="s">
        <v>22</v>
      </c>
      <c r="C135" s="2">
        <v>230</v>
      </c>
      <c r="D135" s="2">
        <v>114</v>
      </c>
      <c r="E135" s="2">
        <v>88</v>
      </c>
      <c r="F135" s="2">
        <v>64</v>
      </c>
      <c r="G135" s="21">
        <f t="shared" ref="G135:G198" si="24">IF(B135="","",AVERAGE(E135:F135)*D135*C135/10^6)</f>
        <v>1.99272</v>
      </c>
      <c r="H135" s="20">
        <f t="shared" si="21"/>
        <v>2.3069999999999999</v>
      </c>
      <c r="I135" s="20">
        <f t="shared" si="22"/>
        <v>1.9930000000000001</v>
      </c>
      <c r="J135" s="75">
        <f t="shared" si="23"/>
        <v>1.4870000000000001</v>
      </c>
      <c r="K135" s="767"/>
      <c r="L135" s="20"/>
      <c r="M135" s="20"/>
      <c r="N135" s="20"/>
      <c r="O135" s="20"/>
      <c r="P135" s="20"/>
      <c r="Q135" s="23"/>
      <c r="R135" s="22" t="s">
        <v>16</v>
      </c>
      <c r="S135" s="22" t="s">
        <v>16</v>
      </c>
      <c r="T135" s="20">
        <f t="shared" si="20"/>
        <v>1708.1534945990982</v>
      </c>
      <c r="U135" s="22">
        <v>1</v>
      </c>
      <c r="V135" s="20"/>
    </row>
    <row r="136" spans="1:22" s="294" customFormat="1" ht="12.75" customHeight="1">
      <c r="A136" s="293" t="s">
        <v>588</v>
      </c>
      <c r="B136" s="2" t="s">
        <v>22</v>
      </c>
      <c r="C136" s="2">
        <v>230</v>
      </c>
      <c r="D136" s="2">
        <v>114</v>
      </c>
      <c r="E136" s="2">
        <v>77</v>
      </c>
      <c r="F136" s="2">
        <v>51</v>
      </c>
      <c r="G136" s="21">
        <f t="shared" si="24"/>
        <v>1.67808</v>
      </c>
      <c r="H136" s="20">
        <f t="shared" si="21"/>
        <v>2.0190000000000001</v>
      </c>
      <c r="I136" s="20">
        <f t="shared" si="22"/>
        <v>1.6779999999999999</v>
      </c>
      <c r="J136" s="75">
        <f t="shared" si="23"/>
        <v>1.1200000000000001</v>
      </c>
      <c r="K136" s="767"/>
      <c r="L136" s="20"/>
      <c r="M136" s="20"/>
      <c r="N136" s="20"/>
      <c r="O136" s="20"/>
      <c r="P136" s="20"/>
      <c r="Q136" s="23"/>
      <c r="R136" s="22" t="s">
        <v>16</v>
      </c>
      <c r="S136" s="22" t="s">
        <v>16</v>
      </c>
      <c r="T136" s="20">
        <f t="shared" si="20"/>
        <v>1382.2025900713686</v>
      </c>
      <c r="U136" s="22">
        <v>1</v>
      </c>
      <c r="V136" s="20"/>
    </row>
    <row r="137" spans="1:22" s="294" customFormat="1" ht="12.75" customHeight="1">
      <c r="A137" s="293" t="s">
        <v>589</v>
      </c>
      <c r="B137" s="2" t="s">
        <v>22</v>
      </c>
      <c r="C137" s="2">
        <v>230</v>
      </c>
      <c r="D137" s="2">
        <v>114</v>
      </c>
      <c r="E137" s="2">
        <v>89</v>
      </c>
      <c r="F137" s="2">
        <v>39</v>
      </c>
      <c r="G137" s="21">
        <f t="shared" si="24"/>
        <v>1.67808</v>
      </c>
      <c r="H137" s="20">
        <f t="shared" si="21"/>
        <v>2.3340000000000001</v>
      </c>
      <c r="I137" s="20">
        <f t="shared" si="22"/>
        <v>1.6779999999999999</v>
      </c>
      <c r="J137" s="75">
        <f t="shared" si="23"/>
        <v>0.91</v>
      </c>
      <c r="K137" s="767"/>
      <c r="L137" s="20"/>
      <c r="M137" s="20"/>
      <c r="N137" s="20"/>
      <c r="O137" s="20"/>
      <c r="P137" s="20"/>
      <c r="Q137" s="23"/>
      <c r="R137" s="22" t="s">
        <v>16</v>
      </c>
      <c r="S137" s="22" t="s">
        <v>16</v>
      </c>
      <c r="T137" s="20">
        <f t="shared" si="20"/>
        <v>832.87694169066776</v>
      </c>
      <c r="U137" s="22">
        <v>1</v>
      </c>
      <c r="V137" s="20"/>
    </row>
    <row r="138" spans="1:22" s="294" customFormat="1" ht="12.75" customHeight="1">
      <c r="A138" s="293" t="s">
        <v>2077</v>
      </c>
      <c r="B138" s="2" t="s">
        <v>22</v>
      </c>
      <c r="C138" s="2">
        <v>230</v>
      </c>
      <c r="D138" s="2">
        <v>114</v>
      </c>
      <c r="E138" s="2">
        <v>101</v>
      </c>
      <c r="F138" s="2">
        <v>51</v>
      </c>
      <c r="G138" s="21">
        <f t="shared" si="24"/>
        <v>1.99272</v>
      </c>
      <c r="H138" s="20">
        <f t="shared" si="21"/>
        <v>2.6480000000000001</v>
      </c>
      <c r="I138" s="20">
        <f t="shared" si="22"/>
        <v>1.9930000000000001</v>
      </c>
      <c r="J138" s="75">
        <f t="shared" si="23"/>
        <v>1.2609999999999999</v>
      </c>
      <c r="K138" s="767"/>
      <c r="L138" s="20"/>
      <c r="M138" s="20"/>
      <c r="N138" s="20"/>
      <c r="O138" s="20"/>
      <c r="P138" s="20"/>
      <c r="Q138" s="23"/>
      <c r="R138" s="22" t="s">
        <v>16</v>
      </c>
      <c r="S138" s="22" t="s">
        <v>16</v>
      </c>
      <c r="T138" s="20">
        <f t="shared" si="20"/>
        <v>943.92720058275677</v>
      </c>
      <c r="U138" s="22">
        <v>1</v>
      </c>
      <c r="V138" s="20"/>
    </row>
    <row r="139" spans="1:22" s="294" customFormat="1">
      <c r="A139" s="293" t="s">
        <v>428</v>
      </c>
      <c r="B139" s="2" t="s">
        <v>22</v>
      </c>
      <c r="C139" s="2">
        <v>345</v>
      </c>
      <c r="D139" s="2">
        <v>114</v>
      </c>
      <c r="E139" s="2">
        <v>67</v>
      </c>
      <c r="F139" s="2">
        <v>61</v>
      </c>
      <c r="G139" s="21">
        <f t="shared" si="24"/>
        <v>2.5171199999999998</v>
      </c>
      <c r="H139" s="20">
        <f t="shared" si="21"/>
        <v>2.6349999999999998</v>
      </c>
      <c r="I139" s="20">
        <f t="shared" si="22"/>
        <v>2.5169999999999999</v>
      </c>
      <c r="J139" s="75">
        <f t="shared" si="23"/>
        <v>1.905</v>
      </c>
      <c r="K139" s="767"/>
      <c r="L139" s="20"/>
      <c r="M139" s="20"/>
      <c r="N139" s="20"/>
      <c r="O139" s="20"/>
      <c r="P139" s="20"/>
      <c r="Q139" s="23"/>
      <c r="R139" s="22">
        <f t="shared" ref="R139:R148" si="25">D139</f>
        <v>114</v>
      </c>
      <c r="S139" s="22" t="s">
        <v>16</v>
      </c>
      <c r="T139" s="20">
        <f t="shared" si="20"/>
        <v>7820.2956465852376</v>
      </c>
      <c r="U139" s="22">
        <v>1</v>
      </c>
      <c r="V139" s="20"/>
    </row>
    <row r="140" spans="1:22" s="294" customFormat="1">
      <c r="A140" s="293" t="s">
        <v>2078</v>
      </c>
      <c r="B140" s="2" t="s">
        <v>22</v>
      </c>
      <c r="C140" s="2">
        <v>345</v>
      </c>
      <c r="D140" s="2">
        <v>114</v>
      </c>
      <c r="E140" s="2">
        <v>79</v>
      </c>
      <c r="F140" s="2">
        <v>73</v>
      </c>
      <c r="G140" s="21">
        <f t="shared" si="24"/>
        <v>2.98908</v>
      </c>
      <c r="H140" s="20">
        <f t="shared" si="21"/>
        <v>3.1070000000000002</v>
      </c>
      <c r="I140" s="20">
        <f t="shared" si="22"/>
        <v>2.9889999999999999</v>
      </c>
      <c r="J140" s="75">
        <f t="shared" si="23"/>
        <v>2.4300000000000002</v>
      </c>
      <c r="K140" s="767"/>
      <c r="L140" s="20"/>
      <c r="M140" s="20"/>
      <c r="N140" s="20"/>
      <c r="O140" s="20"/>
      <c r="P140" s="20"/>
      <c r="Q140" s="23"/>
      <c r="R140" s="22">
        <f t="shared" si="25"/>
        <v>114</v>
      </c>
      <c r="S140" s="22" t="s">
        <v>16</v>
      </c>
      <c r="T140" s="20">
        <f t="shared" si="20"/>
        <v>9200.3478195120442</v>
      </c>
      <c r="U140" s="22">
        <v>1</v>
      </c>
      <c r="V140" s="20"/>
    </row>
    <row r="141" spans="1:22" s="294" customFormat="1">
      <c r="A141" s="293" t="s">
        <v>2079</v>
      </c>
      <c r="B141" s="2" t="s">
        <v>22</v>
      </c>
      <c r="C141" s="2">
        <v>345</v>
      </c>
      <c r="D141" s="2">
        <v>114</v>
      </c>
      <c r="E141" s="2">
        <v>69</v>
      </c>
      <c r="F141" s="2">
        <v>59</v>
      </c>
      <c r="G141" s="21">
        <f t="shared" si="24"/>
        <v>2.5171199999999998</v>
      </c>
      <c r="H141" s="20">
        <f t="shared" si="21"/>
        <v>2.714</v>
      </c>
      <c r="I141" s="20">
        <f t="shared" si="22"/>
        <v>2.5169999999999999</v>
      </c>
      <c r="J141" s="75">
        <f t="shared" si="23"/>
        <v>1.8620000000000001</v>
      </c>
      <c r="K141" s="767"/>
      <c r="L141" s="20"/>
      <c r="M141" s="20"/>
      <c r="N141" s="20"/>
      <c r="O141" s="20"/>
      <c r="P141" s="20"/>
      <c r="Q141" s="23"/>
      <c r="R141" s="22">
        <f t="shared" si="25"/>
        <v>114</v>
      </c>
      <c r="S141" s="22" t="s">
        <v>16</v>
      </c>
      <c r="T141" s="20">
        <f t="shared" si="20"/>
        <v>4830.5072197441132</v>
      </c>
      <c r="U141" s="22">
        <v>1</v>
      </c>
      <c r="V141" s="20"/>
    </row>
    <row r="142" spans="1:22" s="294" customFormat="1">
      <c r="A142" s="293" t="s">
        <v>2080</v>
      </c>
      <c r="B142" s="2" t="s">
        <v>22</v>
      </c>
      <c r="C142" s="2">
        <v>345</v>
      </c>
      <c r="D142" s="2">
        <v>114</v>
      </c>
      <c r="E142" s="2">
        <v>81</v>
      </c>
      <c r="F142" s="2">
        <v>71</v>
      </c>
      <c r="G142" s="21">
        <f t="shared" si="24"/>
        <v>2.98908</v>
      </c>
      <c r="H142" s="20">
        <f t="shared" si="21"/>
        <v>3.1859999999999999</v>
      </c>
      <c r="I142" s="20">
        <f t="shared" si="22"/>
        <v>2.9889999999999999</v>
      </c>
      <c r="J142" s="75">
        <f t="shared" si="23"/>
        <v>2.3879999999999999</v>
      </c>
      <c r="K142" s="767"/>
      <c r="L142" s="20"/>
      <c r="M142" s="20"/>
      <c r="N142" s="20"/>
      <c r="O142" s="20"/>
      <c r="P142" s="20"/>
      <c r="Q142" s="23"/>
      <c r="R142" s="22">
        <f t="shared" si="25"/>
        <v>114</v>
      </c>
      <c r="S142" s="22" t="s">
        <v>16</v>
      </c>
      <c r="T142" s="20">
        <f t="shared" si="20"/>
        <v>5658.594171700247</v>
      </c>
      <c r="U142" s="22">
        <v>1</v>
      </c>
      <c r="V142" s="20"/>
    </row>
    <row r="143" spans="1:22" s="294" customFormat="1">
      <c r="A143" s="293" t="s">
        <v>2081</v>
      </c>
      <c r="B143" s="2" t="s">
        <v>22</v>
      </c>
      <c r="C143" s="2">
        <v>345</v>
      </c>
      <c r="D143" s="2">
        <v>114</v>
      </c>
      <c r="E143" s="2">
        <v>72</v>
      </c>
      <c r="F143" s="2">
        <v>56</v>
      </c>
      <c r="G143" s="21">
        <f t="shared" si="24"/>
        <v>2.5171199999999998</v>
      </c>
      <c r="H143" s="20">
        <f t="shared" si="21"/>
        <v>2.8319999999999999</v>
      </c>
      <c r="I143" s="20">
        <f t="shared" si="22"/>
        <v>2.5169999999999999</v>
      </c>
      <c r="J143" s="75">
        <f t="shared" si="23"/>
        <v>1.7969999999999999</v>
      </c>
      <c r="K143" s="767"/>
      <c r="L143" s="20"/>
      <c r="M143" s="20"/>
      <c r="N143" s="20"/>
      <c r="O143" s="20"/>
      <c r="P143" s="20"/>
      <c r="Q143" s="23"/>
      <c r="R143" s="22">
        <f t="shared" si="25"/>
        <v>114</v>
      </c>
      <c r="S143" s="22" t="s">
        <v>16</v>
      </c>
      <c r="T143" s="20">
        <f t="shared" si="20"/>
        <v>3148.9712630675117</v>
      </c>
      <c r="U143" s="22">
        <v>1</v>
      </c>
      <c r="V143" s="20"/>
    </row>
    <row r="144" spans="1:22" s="294" customFormat="1">
      <c r="A144" s="293" t="s">
        <v>2082</v>
      </c>
      <c r="B144" s="2" t="s">
        <v>22</v>
      </c>
      <c r="C144" s="2">
        <v>345</v>
      </c>
      <c r="D144" s="2">
        <v>114</v>
      </c>
      <c r="E144" s="2">
        <v>84</v>
      </c>
      <c r="F144" s="2">
        <v>68</v>
      </c>
      <c r="G144" s="21">
        <f t="shared" si="24"/>
        <v>2.98908</v>
      </c>
      <c r="H144" s="20">
        <f t="shared" si="21"/>
        <v>3.3039999999999998</v>
      </c>
      <c r="I144" s="20">
        <f t="shared" si="22"/>
        <v>2.9889999999999999</v>
      </c>
      <c r="J144" s="75">
        <f t="shared" si="23"/>
        <v>2.323</v>
      </c>
      <c r="K144" s="767"/>
      <c r="L144" s="20"/>
      <c r="M144" s="20"/>
      <c r="N144" s="20"/>
      <c r="O144" s="20"/>
      <c r="P144" s="20"/>
      <c r="Q144" s="23"/>
      <c r="R144" s="22">
        <f t="shared" si="25"/>
        <v>114</v>
      </c>
      <c r="S144" s="22" t="s">
        <v>16</v>
      </c>
      <c r="T144" s="20">
        <f t="shared" si="20"/>
        <v>3666.6103748046366</v>
      </c>
      <c r="U144" s="22">
        <v>1</v>
      </c>
      <c r="V144" s="20"/>
    </row>
    <row r="145" spans="1:22" s="294" customFormat="1">
      <c r="A145" s="293" t="s">
        <v>2083</v>
      </c>
      <c r="B145" s="2" t="s">
        <v>22</v>
      </c>
      <c r="C145" s="2">
        <v>345</v>
      </c>
      <c r="D145" s="2">
        <v>114</v>
      </c>
      <c r="E145" s="2">
        <v>76</v>
      </c>
      <c r="F145" s="2">
        <v>52</v>
      </c>
      <c r="G145" s="21">
        <f t="shared" si="24"/>
        <v>2.5171199999999998</v>
      </c>
      <c r="H145" s="20">
        <f t="shared" si="21"/>
        <v>2.9889999999999999</v>
      </c>
      <c r="I145" s="20">
        <f t="shared" si="22"/>
        <v>2.5169999999999999</v>
      </c>
      <c r="J145" s="75">
        <f t="shared" si="23"/>
        <v>1.704</v>
      </c>
      <c r="K145" s="767"/>
      <c r="L145" s="20"/>
      <c r="M145" s="20"/>
      <c r="N145" s="20"/>
      <c r="O145" s="20"/>
      <c r="P145" s="20"/>
      <c r="Q145" s="23"/>
      <c r="R145" s="22">
        <f t="shared" si="25"/>
        <v>114</v>
      </c>
      <c r="S145" s="22" t="s">
        <v>16</v>
      </c>
      <c r="T145" s="20">
        <f t="shared" si="20"/>
        <v>2215.0887256496071</v>
      </c>
      <c r="U145" s="22">
        <v>1</v>
      </c>
      <c r="V145" s="20"/>
    </row>
    <row r="146" spans="1:22" s="294" customFormat="1">
      <c r="A146" s="293" t="s">
        <v>2084</v>
      </c>
      <c r="B146" s="2" t="s">
        <v>22</v>
      </c>
      <c r="C146" s="2">
        <v>345</v>
      </c>
      <c r="D146" s="2">
        <v>114</v>
      </c>
      <c r="E146" s="2">
        <v>88</v>
      </c>
      <c r="F146" s="2">
        <v>64</v>
      </c>
      <c r="G146" s="21">
        <f t="shared" si="24"/>
        <v>2.98908</v>
      </c>
      <c r="H146" s="20">
        <f t="shared" si="21"/>
        <v>3.4609999999999999</v>
      </c>
      <c r="I146" s="20">
        <f t="shared" si="22"/>
        <v>2.9889999999999999</v>
      </c>
      <c r="J146" s="75">
        <f t="shared" si="23"/>
        <v>2.23</v>
      </c>
      <c r="K146" s="767"/>
      <c r="L146" s="20"/>
      <c r="M146" s="20"/>
      <c r="N146" s="20"/>
      <c r="O146" s="20"/>
      <c r="P146" s="20"/>
      <c r="Q146" s="23"/>
      <c r="R146" s="22">
        <f t="shared" si="25"/>
        <v>114</v>
      </c>
      <c r="S146" s="22" t="s">
        <v>16</v>
      </c>
      <c r="T146" s="20">
        <f t="shared" si="20"/>
        <v>2560.2973582183772</v>
      </c>
      <c r="U146" s="22">
        <v>1</v>
      </c>
      <c r="V146" s="20"/>
    </row>
    <row r="147" spans="1:22" s="294" customFormat="1">
      <c r="A147" s="293" t="s">
        <v>2085</v>
      </c>
      <c r="B147" s="2" t="s">
        <v>22</v>
      </c>
      <c r="C147" s="2">
        <v>345</v>
      </c>
      <c r="D147" s="2">
        <v>114</v>
      </c>
      <c r="E147" s="2">
        <v>89</v>
      </c>
      <c r="F147" s="2">
        <v>39</v>
      </c>
      <c r="G147" s="21">
        <f t="shared" si="24"/>
        <v>2.5171199999999998</v>
      </c>
      <c r="H147" s="20">
        <f t="shared" si="21"/>
        <v>3.5</v>
      </c>
      <c r="I147" s="20">
        <f t="shared" si="22"/>
        <v>2.5169999999999999</v>
      </c>
      <c r="J147" s="75">
        <f t="shared" si="23"/>
        <v>1.3660000000000001</v>
      </c>
      <c r="K147" s="767"/>
      <c r="L147" s="20"/>
      <c r="M147" s="20"/>
      <c r="N147" s="20"/>
      <c r="O147" s="20"/>
      <c r="P147" s="20"/>
      <c r="Q147" s="23"/>
      <c r="R147" s="22">
        <f t="shared" si="25"/>
        <v>114</v>
      </c>
      <c r="S147" s="22" t="s">
        <v>16</v>
      </c>
      <c r="T147" s="20">
        <f t="shared" si="20"/>
        <v>1245.2566000628144</v>
      </c>
      <c r="U147" s="22">
        <v>1</v>
      </c>
      <c r="V147" s="20"/>
    </row>
    <row r="148" spans="1:22" s="294" customFormat="1">
      <c r="A148" s="293" t="s">
        <v>2086</v>
      </c>
      <c r="B148" s="2" t="s">
        <v>22</v>
      </c>
      <c r="C148" s="2">
        <v>345</v>
      </c>
      <c r="D148" s="2">
        <v>114</v>
      </c>
      <c r="E148" s="2">
        <v>101</v>
      </c>
      <c r="F148" s="2">
        <v>51</v>
      </c>
      <c r="G148" s="21">
        <f t="shared" si="24"/>
        <v>2.98908</v>
      </c>
      <c r="H148" s="20">
        <f t="shared" si="21"/>
        <v>3.972</v>
      </c>
      <c r="I148" s="20">
        <f t="shared" si="22"/>
        <v>2.9889999999999999</v>
      </c>
      <c r="J148" s="75">
        <f t="shared" si="23"/>
        <v>1.891</v>
      </c>
      <c r="K148" s="767"/>
      <c r="L148" s="20"/>
      <c r="M148" s="20"/>
      <c r="N148" s="20"/>
      <c r="O148" s="20"/>
      <c r="P148" s="20"/>
      <c r="Q148" s="23"/>
      <c r="R148" s="22">
        <f t="shared" si="25"/>
        <v>114</v>
      </c>
      <c r="S148" s="22" t="s">
        <v>16</v>
      </c>
      <c r="T148" s="20">
        <f t="shared" si="20"/>
        <v>1411.2908134045229</v>
      </c>
      <c r="U148" s="22">
        <v>1</v>
      </c>
      <c r="V148" s="20"/>
    </row>
    <row r="149" spans="1:22" s="294" customFormat="1" ht="12.75" customHeight="1">
      <c r="A149" s="293" t="s">
        <v>590</v>
      </c>
      <c r="B149" s="2" t="s">
        <v>22</v>
      </c>
      <c r="C149" s="2">
        <v>250</v>
      </c>
      <c r="D149" s="2">
        <v>124</v>
      </c>
      <c r="E149" s="2">
        <v>66</v>
      </c>
      <c r="F149" s="2">
        <v>62</v>
      </c>
      <c r="G149" s="21">
        <f t="shared" si="24"/>
        <v>1.984</v>
      </c>
      <c r="H149" s="20">
        <f t="shared" si="21"/>
        <v>2.0459999999999998</v>
      </c>
      <c r="I149" s="20">
        <f t="shared" si="22"/>
        <v>1.984</v>
      </c>
      <c r="J149" s="75">
        <f t="shared" si="23"/>
        <v>1.4730000000000001</v>
      </c>
      <c r="K149" s="767"/>
      <c r="L149" s="20"/>
      <c r="M149" s="20"/>
      <c r="N149" s="20"/>
      <c r="O149" s="20"/>
      <c r="P149" s="20"/>
      <c r="Q149" s="23"/>
      <c r="R149" s="22" t="s">
        <v>16</v>
      </c>
      <c r="S149" s="22" t="s">
        <v>16</v>
      </c>
      <c r="T149" s="20">
        <f t="shared" si="20"/>
        <v>8375.2679957121363</v>
      </c>
      <c r="U149" s="22">
        <v>1</v>
      </c>
      <c r="V149" s="20"/>
    </row>
    <row r="150" spans="1:22" s="294" customFormat="1">
      <c r="A150" s="293" t="s">
        <v>381</v>
      </c>
      <c r="B150" s="2" t="s">
        <v>22</v>
      </c>
      <c r="C150" s="2">
        <v>250</v>
      </c>
      <c r="D150" s="2">
        <v>124</v>
      </c>
      <c r="E150" s="2">
        <v>67</v>
      </c>
      <c r="F150" s="2">
        <v>61</v>
      </c>
      <c r="G150" s="21">
        <f t="shared" si="24"/>
        <v>1.984</v>
      </c>
      <c r="H150" s="20">
        <f t="shared" si="21"/>
        <v>2.077</v>
      </c>
      <c r="I150" s="20">
        <f t="shared" si="22"/>
        <v>1.984</v>
      </c>
      <c r="J150" s="75">
        <f t="shared" si="23"/>
        <v>1.456</v>
      </c>
      <c r="K150" s="767"/>
      <c r="L150" s="20"/>
      <c r="M150" s="20"/>
      <c r="N150" s="20"/>
      <c r="O150" s="20"/>
      <c r="P150" s="20"/>
      <c r="Q150" s="23"/>
      <c r="R150" s="22" t="s">
        <v>16</v>
      </c>
      <c r="S150" s="22" t="s">
        <v>16</v>
      </c>
      <c r="T150" s="20">
        <f t="shared" si="20"/>
        <v>5667.074651979724</v>
      </c>
      <c r="U150" s="22">
        <v>1</v>
      </c>
      <c r="V150" s="20"/>
    </row>
    <row r="151" spans="1:22" s="294" customFormat="1">
      <c r="A151" s="293" t="s">
        <v>2087</v>
      </c>
      <c r="B151" s="2" t="s">
        <v>22</v>
      </c>
      <c r="C151" s="2">
        <v>250</v>
      </c>
      <c r="D151" s="2">
        <v>124</v>
      </c>
      <c r="E151" s="2">
        <v>79</v>
      </c>
      <c r="F151" s="2">
        <v>73</v>
      </c>
      <c r="G151" s="21">
        <f t="shared" si="24"/>
        <v>2.3559999999999999</v>
      </c>
      <c r="H151" s="20">
        <f t="shared" si="21"/>
        <v>2.4489999999999998</v>
      </c>
      <c r="I151" s="20">
        <f t="shared" si="22"/>
        <v>2.3559999999999999</v>
      </c>
      <c r="J151" s="75">
        <f t="shared" si="23"/>
        <v>1.8520000000000001</v>
      </c>
      <c r="K151" s="767"/>
      <c r="L151" s="20"/>
      <c r="M151" s="20"/>
      <c r="N151" s="20"/>
      <c r="O151" s="20"/>
      <c r="P151" s="20"/>
      <c r="Q151" s="23"/>
      <c r="R151" s="22" t="s">
        <v>16</v>
      </c>
      <c r="S151" s="22" t="s">
        <v>16</v>
      </c>
      <c r="T151" s="20">
        <f t="shared" si="20"/>
        <v>6667.1466493879107</v>
      </c>
      <c r="U151" s="22">
        <v>1</v>
      </c>
      <c r="V151" s="20"/>
    </row>
    <row r="152" spans="1:22" s="294" customFormat="1">
      <c r="A152" s="293" t="s">
        <v>382</v>
      </c>
      <c r="B152" s="2" t="s">
        <v>22</v>
      </c>
      <c r="C152" s="2">
        <v>250</v>
      </c>
      <c r="D152" s="2">
        <v>124</v>
      </c>
      <c r="E152" s="2">
        <v>69</v>
      </c>
      <c r="F152" s="2">
        <v>59</v>
      </c>
      <c r="G152" s="21">
        <f t="shared" si="24"/>
        <v>1.984</v>
      </c>
      <c r="H152" s="20">
        <f t="shared" si="21"/>
        <v>2.1389999999999998</v>
      </c>
      <c r="I152" s="20">
        <f t="shared" si="22"/>
        <v>1.984</v>
      </c>
      <c r="J152" s="75">
        <f t="shared" si="23"/>
        <v>1.423</v>
      </c>
      <c r="K152" s="767"/>
      <c r="L152" s="20"/>
      <c r="M152" s="20"/>
      <c r="N152" s="20"/>
      <c r="O152" s="20"/>
      <c r="P152" s="20"/>
      <c r="Q152" s="23"/>
      <c r="R152" s="22" t="s">
        <v>16</v>
      </c>
      <c r="S152" s="22" t="s">
        <v>16</v>
      </c>
      <c r="T152" s="20">
        <f t="shared" si="20"/>
        <v>3500.6999300139964</v>
      </c>
      <c r="U152" s="22">
        <v>1</v>
      </c>
      <c r="V152" s="20"/>
    </row>
    <row r="153" spans="1:22" s="294" customFormat="1">
      <c r="A153" s="293" t="s">
        <v>2088</v>
      </c>
      <c r="B153" s="2" t="s">
        <v>22</v>
      </c>
      <c r="C153" s="2">
        <v>250</v>
      </c>
      <c r="D153" s="2">
        <v>124</v>
      </c>
      <c r="E153" s="2">
        <v>81</v>
      </c>
      <c r="F153" s="2">
        <v>71</v>
      </c>
      <c r="G153" s="21">
        <f t="shared" si="24"/>
        <v>2.3559999999999999</v>
      </c>
      <c r="H153" s="20">
        <f t="shared" si="21"/>
        <v>2.5110000000000001</v>
      </c>
      <c r="I153" s="20">
        <f t="shared" si="22"/>
        <v>2.3559999999999999</v>
      </c>
      <c r="J153" s="75">
        <f t="shared" si="23"/>
        <v>1.819</v>
      </c>
      <c r="K153" s="767"/>
      <c r="L153" s="20"/>
      <c r="M153" s="20"/>
      <c r="N153" s="20"/>
      <c r="O153" s="20"/>
      <c r="P153" s="20"/>
      <c r="Q153" s="23"/>
      <c r="R153" s="22" t="s">
        <v>16</v>
      </c>
      <c r="S153" s="22" t="s">
        <v>16</v>
      </c>
      <c r="T153" s="20">
        <f t="shared" si="20"/>
        <v>4100.8199180163956</v>
      </c>
      <c r="U153" s="22">
        <v>1</v>
      </c>
      <c r="V153" s="20"/>
    </row>
    <row r="154" spans="1:22" s="294" customFormat="1">
      <c r="A154" s="293" t="s">
        <v>383</v>
      </c>
      <c r="B154" s="2" t="s">
        <v>22</v>
      </c>
      <c r="C154" s="2">
        <v>250</v>
      </c>
      <c r="D154" s="2">
        <v>124</v>
      </c>
      <c r="E154" s="2">
        <v>72</v>
      </c>
      <c r="F154" s="2">
        <v>56</v>
      </c>
      <c r="G154" s="21">
        <f t="shared" si="24"/>
        <v>1.984</v>
      </c>
      <c r="H154" s="20">
        <f t="shared" si="21"/>
        <v>2.2320000000000002</v>
      </c>
      <c r="I154" s="20">
        <f t="shared" si="22"/>
        <v>1.984</v>
      </c>
      <c r="J154" s="75">
        <f t="shared" si="23"/>
        <v>1.3720000000000001</v>
      </c>
      <c r="K154" s="767"/>
      <c r="L154" s="20"/>
      <c r="M154" s="20"/>
      <c r="N154" s="20"/>
      <c r="O154" s="20"/>
      <c r="P154" s="20"/>
      <c r="Q154" s="23"/>
      <c r="R154" s="22" t="s">
        <v>16</v>
      </c>
      <c r="S154" s="22" t="s">
        <v>16</v>
      </c>
      <c r="T154" s="20">
        <f t="shared" si="20"/>
        <v>2282.4177011449942</v>
      </c>
      <c r="U154" s="22">
        <v>1</v>
      </c>
      <c r="V154" s="20"/>
    </row>
    <row r="155" spans="1:22" s="294" customFormat="1">
      <c r="A155" s="293" t="s">
        <v>2089</v>
      </c>
      <c r="B155" s="2" t="s">
        <v>22</v>
      </c>
      <c r="C155" s="2">
        <v>250</v>
      </c>
      <c r="D155" s="2">
        <v>124</v>
      </c>
      <c r="E155" s="2">
        <v>84</v>
      </c>
      <c r="F155" s="2">
        <v>68</v>
      </c>
      <c r="G155" s="21">
        <f t="shared" si="24"/>
        <v>2.3559999999999999</v>
      </c>
      <c r="H155" s="20">
        <f t="shared" si="21"/>
        <v>2.6040000000000001</v>
      </c>
      <c r="I155" s="20">
        <f t="shared" si="22"/>
        <v>2.3559999999999999</v>
      </c>
      <c r="J155" s="75">
        <f t="shared" si="23"/>
        <v>1.768</v>
      </c>
      <c r="K155" s="767"/>
      <c r="L155" s="20"/>
      <c r="M155" s="20"/>
      <c r="N155" s="20"/>
      <c r="O155" s="20"/>
      <c r="P155" s="20"/>
      <c r="Q155" s="23"/>
      <c r="R155" s="22" t="s">
        <v>16</v>
      </c>
      <c r="S155" s="22" t="s">
        <v>16</v>
      </c>
      <c r="T155" s="20">
        <f t="shared" si="20"/>
        <v>2657.6096520181436</v>
      </c>
      <c r="U155" s="22">
        <v>1</v>
      </c>
      <c r="V155" s="20"/>
    </row>
    <row r="156" spans="1:22" s="294" customFormat="1">
      <c r="A156" s="293" t="s">
        <v>384</v>
      </c>
      <c r="B156" s="2" t="s">
        <v>22</v>
      </c>
      <c r="C156" s="2">
        <v>250</v>
      </c>
      <c r="D156" s="2">
        <v>124</v>
      </c>
      <c r="E156" s="2">
        <v>76</v>
      </c>
      <c r="F156" s="2">
        <v>52</v>
      </c>
      <c r="G156" s="21">
        <f t="shared" si="24"/>
        <v>1.984</v>
      </c>
      <c r="H156" s="20">
        <f t="shared" si="21"/>
        <v>2.3559999999999999</v>
      </c>
      <c r="I156" s="20">
        <f t="shared" si="22"/>
        <v>1.984</v>
      </c>
      <c r="J156" s="75">
        <f t="shared" si="23"/>
        <v>1.3</v>
      </c>
      <c r="K156" s="767"/>
      <c r="L156" s="20"/>
      <c r="M156" s="20"/>
      <c r="N156" s="20"/>
      <c r="O156" s="20"/>
      <c r="P156" s="20"/>
      <c r="Q156" s="23"/>
      <c r="R156" s="22" t="s">
        <v>16</v>
      </c>
      <c r="S156" s="22" t="s">
        <v>16</v>
      </c>
      <c r="T156" s="20">
        <f t="shared" si="20"/>
        <v>1606.0136034431478</v>
      </c>
      <c r="U156" s="22">
        <v>1</v>
      </c>
      <c r="V156" s="20"/>
    </row>
    <row r="157" spans="1:22" s="294" customFormat="1">
      <c r="A157" s="293" t="s">
        <v>2090</v>
      </c>
      <c r="B157" s="2" t="s">
        <v>22</v>
      </c>
      <c r="C157" s="2">
        <v>250</v>
      </c>
      <c r="D157" s="2">
        <v>124</v>
      </c>
      <c r="E157" s="2">
        <v>88</v>
      </c>
      <c r="F157" s="2">
        <v>64</v>
      </c>
      <c r="G157" s="21">
        <f t="shared" si="24"/>
        <v>2.3559999999999999</v>
      </c>
      <c r="H157" s="20">
        <f t="shared" si="21"/>
        <v>2.7280000000000002</v>
      </c>
      <c r="I157" s="20">
        <f t="shared" si="22"/>
        <v>2.3559999999999999</v>
      </c>
      <c r="J157" s="75">
        <f t="shared" si="23"/>
        <v>1.696</v>
      </c>
      <c r="K157" s="767"/>
      <c r="L157" s="20"/>
      <c r="M157" s="20"/>
      <c r="N157" s="20"/>
      <c r="O157" s="20"/>
      <c r="P157" s="20"/>
      <c r="Q157" s="23"/>
      <c r="R157" s="22" t="s">
        <v>16</v>
      </c>
      <c r="S157" s="22" t="s">
        <v>16</v>
      </c>
      <c r="T157" s="20">
        <f t="shared" si="20"/>
        <v>1856.301437745976</v>
      </c>
      <c r="U157" s="22">
        <v>1</v>
      </c>
      <c r="V157" s="20"/>
    </row>
    <row r="158" spans="1:22" s="294" customFormat="1">
      <c r="A158" s="293" t="s">
        <v>591</v>
      </c>
      <c r="B158" s="2" t="s">
        <v>22</v>
      </c>
      <c r="C158" s="2">
        <v>250</v>
      </c>
      <c r="D158" s="2">
        <v>124</v>
      </c>
      <c r="E158" s="2">
        <v>77</v>
      </c>
      <c r="F158" s="2">
        <v>51</v>
      </c>
      <c r="G158" s="21">
        <f t="shared" si="24"/>
        <v>1.984</v>
      </c>
      <c r="H158" s="20">
        <f t="shared" si="21"/>
        <v>2.387</v>
      </c>
      <c r="I158" s="20">
        <f t="shared" si="22"/>
        <v>1.984</v>
      </c>
      <c r="J158" s="75">
        <f t="shared" si="23"/>
        <v>1.2809999999999999</v>
      </c>
      <c r="K158" s="767"/>
      <c r="L158" s="20"/>
      <c r="M158" s="20"/>
      <c r="N158" s="20"/>
      <c r="O158" s="20"/>
      <c r="P158" s="20"/>
      <c r="Q158" s="23"/>
      <c r="R158" s="22" t="s">
        <v>16</v>
      </c>
      <c r="S158" s="22" t="s">
        <v>16</v>
      </c>
      <c r="T158" s="20">
        <f t="shared" si="20"/>
        <v>1502.0266309223682</v>
      </c>
      <c r="U158" s="22">
        <v>1</v>
      </c>
      <c r="V158" s="20"/>
    </row>
    <row r="159" spans="1:22" s="294" customFormat="1">
      <c r="A159" s="293" t="s">
        <v>592</v>
      </c>
      <c r="B159" s="2" t="s">
        <v>22</v>
      </c>
      <c r="C159" s="2">
        <v>250</v>
      </c>
      <c r="D159" s="2">
        <v>124</v>
      </c>
      <c r="E159" s="2">
        <v>83</v>
      </c>
      <c r="F159" s="2">
        <v>45</v>
      </c>
      <c r="G159" s="21">
        <f t="shared" si="24"/>
        <v>1.984</v>
      </c>
      <c r="H159" s="20">
        <f t="shared" si="21"/>
        <v>2.573</v>
      </c>
      <c r="I159" s="20">
        <f t="shared" si="22"/>
        <v>1.984</v>
      </c>
      <c r="J159" s="75">
        <f t="shared" si="23"/>
        <v>1.1639999999999999</v>
      </c>
      <c r="K159" s="767"/>
      <c r="L159" s="20"/>
      <c r="M159" s="20"/>
      <c r="N159" s="20"/>
      <c r="O159" s="20"/>
      <c r="P159" s="20"/>
      <c r="Q159" s="23"/>
      <c r="R159" s="22" t="s">
        <v>16</v>
      </c>
      <c r="S159" s="22" t="s">
        <v>16</v>
      </c>
      <c r="T159" s="20">
        <f t="shared" si="20"/>
        <v>1108.4505619103841</v>
      </c>
      <c r="U159" s="22">
        <v>1</v>
      </c>
      <c r="V159" s="20"/>
    </row>
    <row r="160" spans="1:22" s="294" customFormat="1">
      <c r="A160" s="293" t="s">
        <v>593</v>
      </c>
      <c r="B160" s="2" t="s">
        <v>22</v>
      </c>
      <c r="C160" s="2">
        <v>250</v>
      </c>
      <c r="D160" s="2">
        <v>124</v>
      </c>
      <c r="E160" s="2">
        <v>89</v>
      </c>
      <c r="F160" s="2">
        <v>39</v>
      </c>
      <c r="G160" s="21">
        <f t="shared" si="24"/>
        <v>1.984</v>
      </c>
      <c r="H160" s="20">
        <f t="shared" si="21"/>
        <v>2.7589999999999999</v>
      </c>
      <c r="I160" s="20">
        <f t="shared" si="22"/>
        <v>1.984</v>
      </c>
      <c r="J160" s="75">
        <f t="shared" si="23"/>
        <v>1.038</v>
      </c>
      <c r="K160" s="767"/>
      <c r="L160" s="20"/>
      <c r="M160" s="20"/>
      <c r="N160" s="20"/>
      <c r="O160" s="20"/>
      <c r="P160" s="20"/>
      <c r="Q160" s="23"/>
      <c r="R160" s="22" t="s">
        <v>16</v>
      </c>
      <c r="S160" s="22" t="s">
        <v>16</v>
      </c>
      <c r="T160" s="20">
        <f t="shared" si="20"/>
        <v>904.48880590088004</v>
      </c>
      <c r="U160" s="22">
        <v>1</v>
      </c>
      <c r="V160" s="20"/>
    </row>
    <row r="161" spans="1:22" s="294" customFormat="1">
      <c r="A161" s="293" t="s">
        <v>2091</v>
      </c>
      <c r="B161" s="2" t="s">
        <v>22</v>
      </c>
      <c r="C161" s="2">
        <v>250</v>
      </c>
      <c r="D161" s="2">
        <v>124</v>
      </c>
      <c r="E161" s="2">
        <v>101</v>
      </c>
      <c r="F161" s="2">
        <v>51</v>
      </c>
      <c r="G161" s="21">
        <f t="shared" si="24"/>
        <v>2.3559999999999999</v>
      </c>
      <c r="H161" s="20">
        <f t="shared" si="21"/>
        <v>3.1309999999999998</v>
      </c>
      <c r="I161" s="20">
        <f t="shared" si="22"/>
        <v>2.3559999999999999</v>
      </c>
      <c r="J161" s="75">
        <f t="shared" si="23"/>
        <v>1.4339999999999999</v>
      </c>
      <c r="K161" s="767"/>
      <c r="L161" s="20"/>
      <c r="M161" s="20"/>
      <c r="N161" s="20"/>
      <c r="O161" s="20"/>
      <c r="P161" s="20"/>
      <c r="Q161" s="23"/>
      <c r="R161" s="22" t="s">
        <v>16</v>
      </c>
      <c r="S161" s="22" t="s">
        <v>16</v>
      </c>
      <c r="T161" s="20">
        <f t="shared" si="20"/>
        <v>1025.0873133543307</v>
      </c>
      <c r="U161" s="22">
        <v>1</v>
      </c>
      <c r="V161" s="20"/>
    </row>
    <row r="162" spans="1:22" s="294" customFormat="1">
      <c r="A162" s="293" t="s">
        <v>594</v>
      </c>
      <c r="B162" s="2" t="s">
        <v>22</v>
      </c>
      <c r="C162" s="2">
        <v>375</v>
      </c>
      <c r="D162" s="2">
        <v>124</v>
      </c>
      <c r="E162" s="2">
        <v>67</v>
      </c>
      <c r="F162" s="2">
        <v>61</v>
      </c>
      <c r="G162" s="21">
        <f t="shared" si="24"/>
        <v>2.976</v>
      </c>
      <c r="H162" s="20">
        <f t="shared" si="21"/>
        <v>3.1160000000000001</v>
      </c>
      <c r="I162" s="20">
        <f t="shared" si="22"/>
        <v>2.976</v>
      </c>
      <c r="J162" s="75">
        <f t="shared" si="23"/>
        <v>2.1850000000000001</v>
      </c>
      <c r="K162" s="767"/>
      <c r="L162" s="20"/>
      <c r="M162" s="20"/>
      <c r="N162" s="20"/>
      <c r="O162" s="20"/>
      <c r="P162" s="20"/>
      <c r="Q162" s="23"/>
      <c r="R162" s="22" t="s">
        <v>16</v>
      </c>
      <c r="S162" s="22" t="s">
        <v>16</v>
      </c>
      <c r="T162" s="20">
        <f t="shared" si="20"/>
        <v>8500.2719956481378</v>
      </c>
      <c r="U162" s="22">
        <v>1</v>
      </c>
      <c r="V162" s="20"/>
    </row>
    <row r="163" spans="1:22" s="294" customFormat="1">
      <c r="A163" s="293" t="s">
        <v>2092</v>
      </c>
      <c r="B163" s="2" t="s">
        <v>22</v>
      </c>
      <c r="C163" s="2">
        <v>375</v>
      </c>
      <c r="D163" s="2">
        <v>124</v>
      </c>
      <c r="E163" s="2">
        <v>79</v>
      </c>
      <c r="F163" s="2">
        <v>73</v>
      </c>
      <c r="G163" s="21">
        <f t="shared" si="24"/>
        <v>3.5339999999999998</v>
      </c>
      <c r="H163" s="20">
        <f t="shared" si="21"/>
        <v>3.6739999999999999</v>
      </c>
      <c r="I163" s="20">
        <f t="shared" si="22"/>
        <v>3.5339999999999998</v>
      </c>
      <c r="J163" s="75">
        <f t="shared" si="23"/>
        <v>2.7789999999999999</v>
      </c>
      <c r="K163" s="767"/>
      <c r="L163" s="20"/>
      <c r="M163" s="20"/>
      <c r="N163" s="20"/>
      <c r="O163" s="20"/>
      <c r="P163" s="20"/>
      <c r="Q163" s="23"/>
      <c r="R163" s="22" t="s">
        <v>16</v>
      </c>
      <c r="S163" s="22" t="s">
        <v>16</v>
      </c>
      <c r="T163" s="20">
        <f t="shared" si="20"/>
        <v>10000.319994880161</v>
      </c>
      <c r="U163" s="22">
        <v>1</v>
      </c>
      <c r="V163" s="20"/>
    </row>
    <row r="164" spans="1:22" s="294" customFormat="1">
      <c r="A164" s="293" t="s">
        <v>386</v>
      </c>
      <c r="B164" s="2" t="s">
        <v>22</v>
      </c>
      <c r="C164" s="2">
        <v>375</v>
      </c>
      <c r="D164" s="2">
        <v>124</v>
      </c>
      <c r="E164" s="2">
        <v>69</v>
      </c>
      <c r="F164" s="2">
        <v>59</v>
      </c>
      <c r="G164" s="21">
        <f t="shared" si="24"/>
        <v>2.976</v>
      </c>
      <c r="H164" s="20">
        <f t="shared" si="21"/>
        <v>3.2090000000000001</v>
      </c>
      <c r="I164" s="20">
        <f t="shared" si="22"/>
        <v>2.976</v>
      </c>
      <c r="J164" s="75">
        <f t="shared" si="23"/>
        <v>2.1349999999999998</v>
      </c>
      <c r="K164" s="767"/>
      <c r="L164" s="20"/>
      <c r="M164" s="20"/>
      <c r="N164" s="20"/>
      <c r="O164" s="20"/>
      <c r="P164" s="20"/>
      <c r="Q164" s="23"/>
      <c r="R164" s="22" t="s">
        <v>16</v>
      </c>
      <c r="S164" s="22" t="s">
        <v>16</v>
      </c>
      <c r="T164" s="20">
        <f t="shared" si="20"/>
        <v>5250.4666459277687</v>
      </c>
      <c r="U164" s="22">
        <v>1</v>
      </c>
      <c r="V164" s="20"/>
    </row>
    <row r="165" spans="1:22" s="294" customFormat="1">
      <c r="A165" s="293" t="s">
        <v>2093</v>
      </c>
      <c r="B165" s="2" t="s">
        <v>22</v>
      </c>
      <c r="C165" s="2">
        <v>375</v>
      </c>
      <c r="D165" s="2">
        <v>124</v>
      </c>
      <c r="E165" s="2">
        <v>81</v>
      </c>
      <c r="F165" s="2">
        <v>71</v>
      </c>
      <c r="G165" s="21">
        <f t="shared" si="24"/>
        <v>3.5339999999999998</v>
      </c>
      <c r="H165" s="20">
        <f t="shared" si="21"/>
        <v>3.7669999999999999</v>
      </c>
      <c r="I165" s="20">
        <f t="shared" si="22"/>
        <v>3.5339999999999998</v>
      </c>
      <c r="J165" s="75">
        <f t="shared" si="23"/>
        <v>2.7290000000000001</v>
      </c>
      <c r="K165" s="767"/>
      <c r="L165" s="20"/>
      <c r="M165" s="20"/>
      <c r="N165" s="20"/>
      <c r="O165" s="20"/>
      <c r="P165" s="20"/>
      <c r="Q165" s="23"/>
      <c r="R165" s="22" t="s">
        <v>16</v>
      </c>
      <c r="S165" s="22" t="s">
        <v>16</v>
      </c>
      <c r="T165" s="20">
        <f t="shared" si="20"/>
        <v>6150.5466423725293</v>
      </c>
      <c r="U165" s="22">
        <v>1</v>
      </c>
      <c r="V165" s="20"/>
    </row>
    <row r="166" spans="1:22" s="294" customFormat="1">
      <c r="A166" s="293" t="s">
        <v>387</v>
      </c>
      <c r="B166" s="2" t="s">
        <v>22</v>
      </c>
      <c r="C166" s="2">
        <v>375</v>
      </c>
      <c r="D166" s="2">
        <v>124</v>
      </c>
      <c r="E166" s="2">
        <v>72</v>
      </c>
      <c r="F166" s="2">
        <v>56</v>
      </c>
      <c r="G166" s="21">
        <f t="shared" si="24"/>
        <v>2.976</v>
      </c>
      <c r="H166" s="20">
        <f t="shared" si="21"/>
        <v>3.3479999999999999</v>
      </c>
      <c r="I166" s="20">
        <f t="shared" si="22"/>
        <v>2.976</v>
      </c>
      <c r="J166" s="75">
        <f t="shared" si="23"/>
        <v>2.0579999999999998</v>
      </c>
      <c r="K166" s="767"/>
      <c r="L166" s="20"/>
      <c r="M166" s="20"/>
      <c r="N166" s="20"/>
      <c r="O166" s="20"/>
      <c r="P166" s="20"/>
      <c r="Q166" s="23"/>
      <c r="R166" s="22">
        <f t="shared" ref="R166:R173" si="26">D166</f>
        <v>124</v>
      </c>
      <c r="S166" s="20"/>
      <c r="T166" s="20">
        <f t="shared" si="20"/>
        <v>3422.653578091858</v>
      </c>
      <c r="U166" s="22">
        <v>1</v>
      </c>
      <c r="V166" s="20"/>
    </row>
    <row r="167" spans="1:22" s="294" customFormat="1">
      <c r="A167" s="293" t="s">
        <v>2094</v>
      </c>
      <c r="B167" s="2" t="s">
        <v>22</v>
      </c>
      <c r="C167" s="2">
        <v>375</v>
      </c>
      <c r="D167" s="2">
        <v>124</v>
      </c>
      <c r="E167" s="2">
        <v>84</v>
      </c>
      <c r="F167" s="2">
        <v>68</v>
      </c>
      <c r="G167" s="21">
        <f t="shared" si="24"/>
        <v>3.5339999999999998</v>
      </c>
      <c r="H167" s="20">
        <f t="shared" si="21"/>
        <v>3.9060000000000001</v>
      </c>
      <c r="I167" s="20">
        <f t="shared" si="22"/>
        <v>3.5339999999999998</v>
      </c>
      <c r="J167" s="75">
        <f t="shared" si="23"/>
        <v>2.6520000000000001</v>
      </c>
      <c r="K167" s="767"/>
      <c r="L167" s="20"/>
      <c r="M167" s="20"/>
      <c r="N167" s="20"/>
      <c r="O167" s="20"/>
      <c r="P167" s="20"/>
      <c r="Q167" s="23"/>
      <c r="R167" s="22">
        <f t="shared" si="26"/>
        <v>124</v>
      </c>
      <c r="S167" s="20"/>
      <c r="T167" s="20">
        <f t="shared" si="20"/>
        <v>3985.2815635316156</v>
      </c>
      <c r="U167" s="22">
        <v>1</v>
      </c>
      <c r="V167" s="20"/>
    </row>
    <row r="168" spans="1:22" s="294" customFormat="1" ht="13.5" customHeight="1">
      <c r="A168" s="293" t="s">
        <v>388</v>
      </c>
      <c r="B168" s="2" t="s">
        <v>22</v>
      </c>
      <c r="C168" s="2">
        <v>375</v>
      </c>
      <c r="D168" s="2">
        <v>124</v>
      </c>
      <c r="E168" s="2">
        <v>76</v>
      </c>
      <c r="F168" s="2">
        <v>52</v>
      </c>
      <c r="G168" s="21">
        <f t="shared" si="24"/>
        <v>2.976</v>
      </c>
      <c r="H168" s="20">
        <f t="shared" si="21"/>
        <v>3.5339999999999998</v>
      </c>
      <c r="I168" s="20">
        <f t="shared" si="22"/>
        <v>2.976</v>
      </c>
      <c r="J168" s="75">
        <f t="shared" si="23"/>
        <v>1.95</v>
      </c>
      <c r="K168" s="767"/>
      <c r="L168" s="20"/>
      <c r="M168" s="20"/>
      <c r="N168" s="20"/>
      <c r="O168" s="20"/>
      <c r="P168" s="20"/>
      <c r="Q168" s="23"/>
      <c r="R168" s="22">
        <f t="shared" si="26"/>
        <v>124</v>
      </c>
      <c r="S168" s="20"/>
      <c r="T168" s="20">
        <f t="shared" si="20"/>
        <v>2407.4816847693774</v>
      </c>
      <c r="U168" s="22">
        <v>1</v>
      </c>
      <c r="V168" s="20"/>
    </row>
    <row r="169" spans="1:22" s="294" customFormat="1" ht="13.5" customHeight="1">
      <c r="A169" s="293" t="s">
        <v>2095</v>
      </c>
      <c r="B169" s="2" t="s">
        <v>22</v>
      </c>
      <c r="C169" s="2">
        <v>375</v>
      </c>
      <c r="D169" s="2">
        <v>124</v>
      </c>
      <c r="E169" s="2">
        <v>88</v>
      </c>
      <c r="F169" s="2">
        <v>64</v>
      </c>
      <c r="G169" s="21">
        <f t="shared" si="24"/>
        <v>3.5339999999999998</v>
      </c>
      <c r="H169" s="20">
        <f t="shared" si="21"/>
        <v>4.0919999999999996</v>
      </c>
      <c r="I169" s="20">
        <f t="shared" si="22"/>
        <v>3.5339999999999998</v>
      </c>
      <c r="J169" s="75">
        <f t="shared" si="23"/>
        <v>2.544</v>
      </c>
      <c r="K169" s="767"/>
      <c r="L169" s="20"/>
      <c r="M169" s="20"/>
      <c r="N169" s="20"/>
      <c r="O169" s="20"/>
      <c r="P169" s="20"/>
      <c r="Q169" s="23"/>
      <c r="R169" s="22">
        <f t="shared" si="26"/>
        <v>124</v>
      </c>
      <c r="S169" s="20"/>
      <c r="T169" s="20">
        <f t="shared" si="20"/>
        <v>2782.6736356425272</v>
      </c>
      <c r="U169" s="22">
        <v>1</v>
      </c>
      <c r="V169" s="20"/>
    </row>
    <row r="170" spans="1:22" s="294" customFormat="1" ht="13.5" customHeight="1">
      <c r="A170" s="293" t="s">
        <v>2096</v>
      </c>
      <c r="B170" s="2" t="s">
        <v>22</v>
      </c>
      <c r="C170" s="2">
        <v>375</v>
      </c>
      <c r="D170" s="2">
        <v>124</v>
      </c>
      <c r="E170" s="2">
        <v>89</v>
      </c>
      <c r="F170" s="2">
        <v>39</v>
      </c>
      <c r="G170" s="21">
        <f t="shared" si="24"/>
        <v>2.976</v>
      </c>
      <c r="H170" s="20">
        <f t="shared" si="21"/>
        <v>4.1390000000000002</v>
      </c>
      <c r="I170" s="20">
        <f t="shared" si="22"/>
        <v>2.976</v>
      </c>
      <c r="J170" s="75">
        <f t="shared" si="23"/>
        <v>1.5580000000000001</v>
      </c>
      <c r="K170" s="767"/>
      <c r="L170" s="20"/>
      <c r="M170" s="20"/>
      <c r="N170" s="20"/>
      <c r="O170" s="20"/>
      <c r="P170" s="20"/>
      <c r="Q170" s="23"/>
      <c r="R170" s="22">
        <f t="shared" si="26"/>
        <v>124</v>
      </c>
      <c r="S170" s="20"/>
      <c r="T170" s="20">
        <f t="shared" si="20"/>
        <v>1352.9966740535617</v>
      </c>
      <c r="U170" s="22">
        <v>1</v>
      </c>
      <c r="V170" s="20"/>
    </row>
    <row r="171" spans="1:22" s="294" customFormat="1" ht="13.5" customHeight="1">
      <c r="A171" s="293" t="s">
        <v>2097</v>
      </c>
      <c r="B171" s="2" t="s">
        <v>22</v>
      </c>
      <c r="C171" s="2">
        <v>375</v>
      </c>
      <c r="D171" s="2">
        <v>124</v>
      </c>
      <c r="E171" s="2">
        <v>101</v>
      </c>
      <c r="F171" s="2">
        <v>51</v>
      </c>
      <c r="G171" s="21">
        <f t="shared" si="24"/>
        <v>3.5339999999999998</v>
      </c>
      <c r="H171" s="20">
        <f t="shared" si="21"/>
        <v>4.6970000000000001</v>
      </c>
      <c r="I171" s="20">
        <f t="shared" si="22"/>
        <v>3.5339999999999998</v>
      </c>
      <c r="J171" s="75">
        <f t="shared" si="23"/>
        <v>2.1520000000000001</v>
      </c>
      <c r="K171" s="767"/>
      <c r="L171" s="20"/>
      <c r="M171" s="20"/>
      <c r="N171" s="20"/>
      <c r="O171" s="20"/>
      <c r="P171" s="20"/>
      <c r="Q171" s="23"/>
      <c r="R171" s="22">
        <f t="shared" si="26"/>
        <v>124</v>
      </c>
      <c r="S171" s="20"/>
      <c r="T171" s="20">
        <f t="shared" si="20"/>
        <v>1533.3962305940368</v>
      </c>
      <c r="U171" s="22">
        <v>1</v>
      </c>
      <c r="V171" s="20"/>
    </row>
    <row r="172" spans="1:22" s="294" customFormat="1">
      <c r="A172" s="293" t="s">
        <v>2098</v>
      </c>
      <c r="B172" s="2" t="s">
        <v>22</v>
      </c>
      <c r="C172" s="2">
        <v>200</v>
      </c>
      <c r="D172" s="2">
        <v>150</v>
      </c>
      <c r="E172" s="2">
        <v>67</v>
      </c>
      <c r="F172" s="2">
        <v>61</v>
      </c>
      <c r="G172" s="21">
        <f t="shared" si="24"/>
        <v>1.92</v>
      </c>
      <c r="H172" s="20">
        <f t="shared" si="21"/>
        <v>2.0099999999999998</v>
      </c>
      <c r="I172" s="20">
        <f t="shared" si="22"/>
        <v>1.92</v>
      </c>
      <c r="J172" s="75">
        <f t="shared" si="23"/>
        <v>1.3240000000000001</v>
      </c>
      <c r="K172" s="767"/>
      <c r="L172" s="20"/>
      <c r="M172" s="20"/>
      <c r="N172" s="20"/>
      <c r="O172" s="20"/>
      <c r="P172" s="20"/>
      <c r="Q172" s="23"/>
      <c r="R172" s="22">
        <f t="shared" si="26"/>
        <v>150</v>
      </c>
      <c r="S172" s="20"/>
      <c r="T172" s="20">
        <f t="shared" si="20"/>
        <v>4533.84330464906</v>
      </c>
      <c r="U172" s="22">
        <v>1</v>
      </c>
      <c r="V172" s="20"/>
    </row>
    <row r="173" spans="1:22" s="294" customFormat="1">
      <c r="A173" s="293" t="s">
        <v>2099</v>
      </c>
      <c r="B173" s="2" t="s">
        <v>22</v>
      </c>
      <c r="C173" s="2">
        <v>200</v>
      </c>
      <c r="D173" s="2">
        <v>150</v>
      </c>
      <c r="E173" s="2">
        <v>79</v>
      </c>
      <c r="F173" s="2">
        <v>73</v>
      </c>
      <c r="G173" s="21">
        <f t="shared" si="24"/>
        <v>2.2799999999999998</v>
      </c>
      <c r="H173" s="20">
        <f t="shared" si="21"/>
        <v>2.37</v>
      </c>
      <c r="I173" s="20">
        <f t="shared" si="22"/>
        <v>2.2799999999999998</v>
      </c>
      <c r="J173" s="75">
        <f t="shared" si="23"/>
        <v>1.6719999999999999</v>
      </c>
      <c r="K173" s="767"/>
      <c r="L173" s="20"/>
      <c r="M173" s="20"/>
      <c r="N173" s="20"/>
      <c r="O173" s="20"/>
      <c r="P173" s="20"/>
      <c r="Q173" s="23"/>
      <c r="R173" s="22">
        <f t="shared" si="26"/>
        <v>150</v>
      </c>
      <c r="S173" s="20"/>
      <c r="T173" s="20">
        <f t="shared" si="20"/>
        <v>5333.9332995871291</v>
      </c>
      <c r="U173" s="22">
        <v>1</v>
      </c>
      <c r="V173" s="20"/>
    </row>
    <row r="174" spans="1:22" s="294" customFormat="1">
      <c r="A174" s="293" t="s">
        <v>2100</v>
      </c>
      <c r="B174" s="2" t="s">
        <v>22</v>
      </c>
      <c r="C174" s="2">
        <v>200</v>
      </c>
      <c r="D174" s="2">
        <v>150</v>
      </c>
      <c r="E174" s="2">
        <v>69</v>
      </c>
      <c r="F174" s="2">
        <v>59</v>
      </c>
      <c r="G174" s="21">
        <f t="shared" si="24"/>
        <v>1.92</v>
      </c>
      <c r="H174" s="20">
        <f t="shared" si="21"/>
        <v>2.0699999999999998</v>
      </c>
      <c r="I174" s="20">
        <f t="shared" si="22"/>
        <v>1.92</v>
      </c>
      <c r="J174" s="75">
        <f t="shared" si="23"/>
        <v>1.292</v>
      </c>
      <c r="K174" s="767"/>
      <c r="L174" s="20"/>
      <c r="M174" s="20"/>
      <c r="N174" s="20"/>
      <c r="O174" s="20"/>
      <c r="P174" s="20"/>
      <c r="Q174" s="23"/>
      <c r="R174" s="22" t="s">
        <v>16</v>
      </c>
      <c r="S174" s="22" t="s">
        <v>16</v>
      </c>
      <c r="T174" s="20">
        <f t="shared" si="20"/>
        <v>2800.8748633239579</v>
      </c>
      <c r="U174" s="22">
        <v>1</v>
      </c>
      <c r="V174" s="20"/>
    </row>
    <row r="175" spans="1:22" s="294" customFormat="1">
      <c r="A175" s="293" t="s">
        <v>2101</v>
      </c>
      <c r="B175" s="2" t="s">
        <v>22</v>
      </c>
      <c r="C175" s="2">
        <v>200</v>
      </c>
      <c r="D175" s="2">
        <v>150</v>
      </c>
      <c r="E175" s="2">
        <v>81</v>
      </c>
      <c r="F175" s="2">
        <v>71</v>
      </c>
      <c r="G175" s="21">
        <f t="shared" si="24"/>
        <v>2.2799999999999998</v>
      </c>
      <c r="H175" s="20">
        <f t="shared" si="21"/>
        <v>2.4300000000000002</v>
      </c>
      <c r="I175" s="20">
        <f t="shared" si="22"/>
        <v>2.2799999999999998</v>
      </c>
      <c r="J175" s="75">
        <f t="shared" si="23"/>
        <v>1.64</v>
      </c>
      <c r="K175" s="767"/>
      <c r="L175" s="20"/>
      <c r="M175" s="20"/>
      <c r="N175" s="20"/>
      <c r="O175" s="20"/>
      <c r="P175" s="20"/>
      <c r="Q175" s="23"/>
      <c r="R175" s="22" t="s">
        <v>16</v>
      </c>
      <c r="S175" s="22" t="s">
        <v>16</v>
      </c>
      <c r="T175" s="20">
        <f t="shared" si="20"/>
        <v>3281.0248398937792</v>
      </c>
      <c r="U175" s="22">
        <v>1</v>
      </c>
      <c r="V175" s="20"/>
    </row>
    <row r="176" spans="1:22" s="294" customFormat="1">
      <c r="A176" s="293" t="s">
        <v>2102</v>
      </c>
      <c r="B176" s="2" t="s">
        <v>22</v>
      </c>
      <c r="C176" s="2">
        <v>200</v>
      </c>
      <c r="D176" s="2">
        <v>150</v>
      </c>
      <c r="E176" s="2">
        <v>72</v>
      </c>
      <c r="F176" s="2">
        <v>56</v>
      </c>
      <c r="G176" s="21">
        <f t="shared" si="24"/>
        <v>1.92</v>
      </c>
      <c r="H176" s="20">
        <f t="shared" si="21"/>
        <v>2.16</v>
      </c>
      <c r="I176" s="20">
        <f t="shared" si="22"/>
        <v>1.92</v>
      </c>
      <c r="J176" s="75">
        <f t="shared" si="23"/>
        <v>1.2430000000000001</v>
      </c>
      <c r="K176" s="767"/>
      <c r="L176" s="20"/>
      <c r="M176" s="20"/>
      <c r="N176" s="20"/>
      <c r="O176" s="20"/>
      <c r="P176" s="20"/>
      <c r="Q176" s="23"/>
      <c r="R176" s="22" t="s">
        <v>16</v>
      </c>
      <c r="S176" s="22" t="s">
        <v>16</v>
      </c>
      <c r="T176" s="20">
        <f t="shared" si="20"/>
        <v>1826.459416466733</v>
      </c>
      <c r="U176" s="22">
        <v>1</v>
      </c>
      <c r="V176" s="20"/>
    </row>
    <row r="177" spans="1:22" s="294" customFormat="1">
      <c r="A177" s="293" t="s">
        <v>2103</v>
      </c>
      <c r="B177" s="2" t="s">
        <v>22</v>
      </c>
      <c r="C177" s="2">
        <v>200</v>
      </c>
      <c r="D177" s="2">
        <v>150</v>
      </c>
      <c r="E177" s="2">
        <v>84</v>
      </c>
      <c r="F177" s="2">
        <v>68</v>
      </c>
      <c r="G177" s="21">
        <f t="shared" si="24"/>
        <v>2.2799999999999998</v>
      </c>
      <c r="H177" s="20">
        <f t="shared" si="21"/>
        <v>2.52</v>
      </c>
      <c r="I177" s="20">
        <f t="shared" si="22"/>
        <v>2.2799999999999998</v>
      </c>
      <c r="J177" s="75">
        <f t="shared" si="23"/>
        <v>1.591</v>
      </c>
      <c r="K177" s="767"/>
      <c r="L177" s="20"/>
      <c r="M177" s="20"/>
      <c r="N177" s="20"/>
      <c r="O177" s="20"/>
      <c r="P177" s="20"/>
      <c r="Q177" s="23"/>
      <c r="R177" s="22" t="s">
        <v>16</v>
      </c>
      <c r="S177" s="22" t="s">
        <v>16</v>
      </c>
      <c r="T177" s="20">
        <f t="shared" si="20"/>
        <v>2126.6993205434565</v>
      </c>
      <c r="U177" s="22">
        <v>1</v>
      </c>
      <c r="V177" s="20"/>
    </row>
    <row r="178" spans="1:22" s="294" customFormat="1">
      <c r="A178" s="293" t="s">
        <v>2104</v>
      </c>
      <c r="B178" s="2" t="s">
        <v>22</v>
      </c>
      <c r="C178" s="2">
        <v>200</v>
      </c>
      <c r="D178" s="2">
        <v>150</v>
      </c>
      <c r="E178" s="2">
        <v>76</v>
      </c>
      <c r="F178" s="2">
        <v>52</v>
      </c>
      <c r="G178" s="21">
        <f t="shared" si="24"/>
        <v>1.92</v>
      </c>
      <c r="H178" s="20">
        <f t="shared" si="21"/>
        <v>2.2799999999999998</v>
      </c>
      <c r="I178" s="20">
        <f t="shared" si="22"/>
        <v>1.92</v>
      </c>
      <c r="J178" s="75">
        <f t="shared" si="23"/>
        <v>1.175</v>
      </c>
      <c r="K178" s="767"/>
      <c r="L178" s="20"/>
      <c r="M178" s="20"/>
      <c r="N178" s="20"/>
      <c r="O178" s="20"/>
      <c r="P178" s="20"/>
      <c r="Q178" s="23"/>
      <c r="R178" s="22" t="s">
        <v>16</v>
      </c>
      <c r="S178" s="22" t="s">
        <v>16</v>
      </c>
      <c r="T178" s="20">
        <f t="shared" si="20"/>
        <v>1285.6412580671345</v>
      </c>
      <c r="U178" s="22">
        <v>1</v>
      </c>
      <c r="V178" s="20"/>
    </row>
    <row r="179" spans="1:22" s="294" customFormat="1">
      <c r="A179" s="293" t="s">
        <v>2105</v>
      </c>
      <c r="B179" s="2" t="s">
        <v>22</v>
      </c>
      <c r="C179" s="2">
        <v>200</v>
      </c>
      <c r="D179" s="2">
        <v>150</v>
      </c>
      <c r="E179" s="2">
        <v>88</v>
      </c>
      <c r="F179" s="2">
        <v>64</v>
      </c>
      <c r="G179" s="21">
        <f t="shared" si="24"/>
        <v>2.2799999999999998</v>
      </c>
      <c r="H179" s="20">
        <f t="shared" si="21"/>
        <v>2.64</v>
      </c>
      <c r="I179" s="20">
        <f t="shared" si="22"/>
        <v>2.2799999999999998</v>
      </c>
      <c r="J179" s="75">
        <f t="shared" si="23"/>
        <v>1.5229999999999999</v>
      </c>
      <c r="K179" s="767"/>
      <c r="L179" s="20"/>
      <c r="M179" s="20"/>
      <c r="N179" s="20"/>
      <c r="O179" s="20"/>
      <c r="P179" s="20"/>
      <c r="Q179" s="23"/>
      <c r="R179" s="22" t="s">
        <v>16</v>
      </c>
      <c r="S179" s="22" t="s">
        <v>16</v>
      </c>
      <c r="T179" s="20">
        <f t="shared" si="20"/>
        <v>1486.0009346490256</v>
      </c>
      <c r="U179" s="22">
        <v>1</v>
      </c>
      <c r="V179" s="20"/>
    </row>
    <row r="180" spans="1:22" s="294" customFormat="1">
      <c r="A180" s="293" t="s">
        <v>2106</v>
      </c>
      <c r="B180" s="2" t="s">
        <v>22</v>
      </c>
      <c r="C180" s="2">
        <v>200</v>
      </c>
      <c r="D180" s="2">
        <v>150</v>
      </c>
      <c r="E180" s="2">
        <v>89</v>
      </c>
      <c r="F180" s="2">
        <v>39</v>
      </c>
      <c r="G180" s="21">
        <f t="shared" si="24"/>
        <v>1.92</v>
      </c>
      <c r="H180" s="20">
        <f t="shared" si="21"/>
        <v>2.67</v>
      </c>
      <c r="I180" s="20">
        <f t="shared" si="22"/>
        <v>1.92</v>
      </c>
      <c r="J180" s="75">
        <f t="shared" si="23"/>
        <v>0.93200000000000005</v>
      </c>
      <c r="K180" s="767"/>
      <c r="L180" s="20"/>
      <c r="M180" s="20"/>
      <c r="N180" s="20"/>
      <c r="O180" s="20"/>
      <c r="P180" s="20"/>
      <c r="Q180" s="23"/>
      <c r="R180" s="22" t="s">
        <v>16</v>
      </c>
      <c r="S180" s="22" t="s">
        <v>16</v>
      </c>
      <c r="T180" s="20">
        <f t="shared" si="20"/>
        <v>725.60319734686948</v>
      </c>
      <c r="U180" s="22">
        <v>1</v>
      </c>
      <c r="V180" s="20"/>
    </row>
    <row r="181" spans="1:22" s="294" customFormat="1">
      <c r="A181" s="293" t="s">
        <v>2107</v>
      </c>
      <c r="B181" s="2" t="s">
        <v>22</v>
      </c>
      <c r="C181" s="2">
        <v>200</v>
      </c>
      <c r="D181" s="2">
        <v>150</v>
      </c>
      <c r="E181" s="2">
        <v>101</v>
      </c>
      <c r="F181" s="2">
        <v>51</v>
      </c>
      <c r="G181" s="21">
        <f t="shared" si="24"/>
        <v>2.2799999999999998</v>
      </c>
      <c r="H181" s="20">
        <f t="shared" si="21"/>
        <v>3.03</v>
      </c>
      <c r="I181" s="20">
        <f t="shared" si="22"/>
        <v>2.2799999999999998</v>
      </c>
      <c r="J181" s="75">
        <f t="shared" si="23"/>
        <v>1.28</v>
      </c>
      <c r="K181" s="767"/>
      <c r="L181" s="20"/>
      <c r="M181" s="20"/>
      <c r="N181" s="20"/>
      <c r="O181" s="20"/>
      <c r="P181" s="20"/>
      <c r="Q181" s="23"/>
      <c r="R181" s="22" t="s">
        <v>16</v>
      </c>
      <c r="S181" s="22" t="s">
        <v>16</v>
      </c>
      <c r="T181" s="20">
        <f t="shared" si="20"/>
        <v>822.35029032645207</v>
      </c>
      <c r="U181" s="22">
        <v>1</v>
      </c>
      <c r="V181" s="20"/>
    </row>
    <row r="182" spans="1:22" s="294" customFormat="1">
      <c r="A182" s="293" t="s">
        <v>385</v>
      </c>
      <c r="B182" s="2" t="s">
        <v>22</v>
      </c>
      <c r="C182" s="2">
        <v>300</v>
      </c>
      <c r="D182" s="2">
        <v>150</v>
      </c>
      <c r="E182" s="2">
        <v>67</v>
      </c>
      <c r="F182" s="2">
        <v>61</v>
      </c>
      <c r="G182" s="21">
        <f t="shared" si="24"/>
        <v>2.88</v>
      </c>
      <c r="H182" s="20">
        <f>ROUND(C182*D182*E182/10^6,3)</f>
        <v>3.0150000000000001</v>
      </c>
      <c r="I182" s="20">
        <f>IF(F182="","-",ROUND((E182+F182)*C182/2*D182/10^6,3))</f>
        <v>2.88</v>
      </c>
      <c r="J182" s="75">
        <f>IF(F182="","-",ROUND((D182+E182)*C182/2*F182/10^6,3))</f>
        <v>1.986</v>
      </c>
      <c r="K182" s="767"/>
      <c r="L182" s="20"/>
      <c r="M182" s="20"/>
      <c r="N182" s="20"/>
      <c r="O182" s="20"/>
      <c r="P182" s="20"/>
      <c r="Q182" s="23"/>
      <c r="R182" s="22">
        <f>D182</f>
        <v>150</v>
      </c>
      <c r="S182" s="20"/>
      <c r="T182" s="20">
        <f>(E182+U182)/2/(SIN(RADIANS((ATAN(((E182+U182)-(F182+U182))/2/C182)*180/PI()))))*2</f>
        <v>6800.3399915004247</v>
      </c>
      <c r="U182" s="22">
        <v>1</v>
      </c>
      <c r="V182" s="20"/>
    </row>
    <row r="183" spans="1:22" s="294" customFormat="1">
      <c r="A183" s="293" t="s">
        <v>2108</v>
      </c>
      <c r="B183" s="2" t="s">
        <v>22</v>
      </c>
      <c r="C183" s="2">
        <v>300</v>
      </c>
      <c r="D183" s="2">
        <v>150</v>
      </c>
      <c r="E183" s="2">
        <v>79</v>
      </c>
      <c r="F183" s="2">
        <v>73</v>
      </c>
      <c r="G183" s="21">
        <f t="shared" si="24"/>
        <v>3.42</v>
      </c>
      <c r="H183" s="20">
        <f>ROUND(C183*D183*E183/10^6,3)</f>
        <v>3.5550000000000002</v>
      </c>
      <c r="I183" s="20">
        <f>IF(F183="","-",ROUND((E183+F183)*C183/2*D183/10^6,3))</f>
        <v>3.42</v>
      </c>
      <c r="J183" s="75">
        <f>IF(F183="","-",ROUND((D183+E183)*C183/2*F183/10^6,3))</f>
        <v>2.508</v>
      </c>
      <c r="K183" s="767"/>
      <c r="L183" s="20"/>
      <c r="M183" s="20"/>
      <c r="N183" s="20"/>
      <c r="O183" s="20"/>
      <c r="P183" s="20"/>
      <c r="Q183" s="23"/>
      <c r="R183" s="22">
        <f>D183</f>
        <v>150</v>
      </c>
      <c r="S183" s="20"/>
      <c r="T183" s="20">
        <f>(E183+U183)/2/(SIN(RADIANS((ATAN(((E183+U183)-(F183+U183))/2/C183)*180/PI()))))*2</f>
        <v>8000.3999900005001</v>
      </c>
      <c r="U183" s="22">
        <v>1</v>
      </c>
      <c r="V183" s="20"/>
    </row>
    <row r="184" spans="1:22" s="294" customFormat="1">
      <c r="A184" s="293" t="s">
        <v>595</v>
      </c>
      <c r="B184" s="2" t="s">
        <v>22</v>
      </c>
      <c r="C184" s="2">
        <v>300</v>
      </c>
      <c r="D184" s="2">
        <v>150</v>
      </c>
      <c r="E184" s="2">
        <v>69</v>
      </c>
      <c r="F184" s="2">
        <v>59</v>
      </c>
      <c r="G184" s="21">
        <f t="shared" si="24"/>
        <v>2.88</v>
      </c>
      <c r="H184" s="20">
        <f t="shared" si="21"/>
        <v>3.105</v>
      </c>
      <c r="I184" s="20">
        <f t="shared" si="22"/>
        <v>2.88</v>
      </c>
      <c r="J184" s="75">
        <f t="shared" si="23"/>
        <v>1.9379999999999999</v>
      </c>
      <c r="K184" s="767"/>
      <c r="L184" s="20"/>
      <c r="M184" s="20"/>
      <c r="N184" s="20"/>
      <c r="O184" s="20"/>
      <c r="P184" s="20"/>
      <c r="Q184" s="23"/>
      <c r="R184" s="22" t="s">
        <v>16</v>
      </c>
      <c r="S184" s="22" t="s">
        <v>16</v>
      </c>
      <c r="T184" s="20">
        <f t="shared" si="20"/>
        <v>4200.5832928297004</v>
      </c>
      <c r="U184" s="22">
        <v>1</v>
      </c>
      <c r="V184" s="20"/>
    </row>
    <row r="185" spans="1:22" s="294" customFormat="1">
      <c r="A185" s="293" t="s">
        <v>2109</v>
      </c>
      <c r="B185" s="2" t="s">
        <v>22</v>
      </c>
      <c r="C185" s="2">
        <v>300</v>
      </c>
      <c r="D185" s="2">
        <v>150</v>
      </c>
      <c r="E185" s="2">
        <v>81</v>
      </c>
      <c r="F185" s="2">
        <v>71</v>
      </c>
      <c r="G185" s="21">
        <f t="shared" si="24"/>
        <v>3.42</v>
      </c>
      <c r="H185" s="20">
        <f t="shared" si="21"/>
        <v>3.645</v>
      </c>
      <c r="I185" s="20">
        <f t="shared" si="22"/>
        <v>3.42</v>
      </c>
      <c r="J185" s="75">
        <f t="shared" si="23"/>
        <v>2.46</v>
      </c>
      <c r="K185" s="767"/>
      <c r="L185" s="20"/>
      <c r="M185" s="20"/>
      <c r="N185" s="20"/>
      <c r="O185" s="20"/>
      <c r="P185" s="20"/>
      <c r="Q185" s="23"/>
      <c r="R185" s="22" t="s">
        <v>16</v>
      </c>
      <c r="S185" s="22" t="s">
        <v>16</v>
      </c>
      <c r="T185" s="20">
        <f t="shared" si="20"/>
        <v>4920.6832858862199</v>
      </c>
      <c r="U185" s="22">
        <v>1</v>
      </c>
      <c r="V185" s="20"/>
    </row>
    <row r="186" spans="1:22" s="294" customFormat="1">
      <c r="A186" s="293" t="s">
        <v>596</v>
      </c>
      <c r="B186" s="2" t="s">
        <v>22</v>
      </c>
      <c r="C186" s="2">
        <v>300</v>
      </c>
      <c r="D186" s="2">
        <v>150</v>
      </c>
      <c r="E186" s="2">
        <v>72</v>
      </c>
      <c r="F186" s="2">
        <v>56</v>
      </c>
      <c r="G186" s="21">
        <f t="shared" si="24"/>
        <v>2.88</v>
      </c>
      <c r="H186" s="20">
        <f t="shared" si="21"/>
        <v>3.24</v>
      </c>
      <c r="I186" s="20">
        <f t="shared" si="22"/>
        <v>2.88</v>
      </c>
      <c r="J186" s="75">
        <f t="shared" si="23"/>
        <v>1.865</v>
      </c>
      <c r="K186" s="767"/>
      <c r="L186" s="20"/>
      <c r="M186" s="20"/>
      <c r="N186" s="20"/>
      <c r="O186" s="20"/>
      <c r="P186" s="20"/>
      <c r="Q186" s="23"/>
      <c r="R186" s="22" t="s">
        <v>16</v>
      </c>
      <c r="S186" s="22" t="s">
        <v>16</v>
      </c>
      <c r="T186" s="20">
        <f t="shared" si="20"/>
        <v>2738.4731603577929</v>
      </c>
      <c r="U186" s="22">
        <v>1</v>
      </c>
      <c r="V186" s="20"/>
    </row>
    <row r="187" spans="1:22" s="294" customFormat="1">
      <c r="A187" s="293" t="s">
        <v>2110</v>
      </c>
      <c r="B187" s="2" t="s">
        <v>22</v>
      </c>
      <c r="C187" s="2">
        <v>300</v>
      </c>
      <c r="D187" s="2">
        <v>150</v>
      </c>
      <c r="E187" s="2">
        <v>84</v>
      </c>
      <c r="F187" s="2">
        <v>68</v>
      </c>
      <c r="G187" s="21">
        <f t="shared" si="24"/>
        <v>3.42</v>
      </c>
      <c r="H187" s="20">
        <f t="shared" si="21"/>
        <v>3.78</v>
      </c>
      <c r="I187" s="20">
        <f t="shared" si="22"/>
        <v>3.42</v>
      </c>
      <c r="J187" s="75">
        <f t="shared" si="23"/>
        <v>2.387</v>
      </c>
      <c r="K187" s="767"/>
      <c r="L187" s="20"/>
      <c r="M187" s="20"/>
      <c r="N187" s="20"/>
      <c r="O187" s="20"/>
      <c r="P187" s="20"/>
      <c r="Q187" s="23"/>
      <c r="R187" s="22" t="s">
        <v>16</v>
      </c>
      <c r="S187" s="22" t="s">
        <v>16</v>
      </c>
      <c r="T187" s="20">
        <f t="shared" si="20"/>
        <v>3188.6331319234578</v>
      </c>
      <c r="U187" s="22">
        <v>1</v>
      </c>
      <c r="V187" s="20"/>
    </row>
    <row r="188" spans="1:22" s="294" customFormat="1">
      <c r="A188" s="293" t="s">
        <v>597</v>
      </c>
      <c r="B188" s="2" t="s">
        <v>22</v>
      </c>
      <c r="C188" s="2">
        <v>300</v>
      </c>
      <c r="D188" s="2">
        <v>150</v>
      </c>
      <c r="E188" s="2">
        <v>76</v>
      </c>
      <c r="F188" s="2">
        <v>52</v>
      </c>
      <c r="G188" s="21">
        <f t="shared" si="24"/>
        <v>2.88</v>
      </c>
      <c r="H188" s="20">
        <f t="shared" si="21"/>
        <v>3.42</v>
      </c>
      <c r="I188" s="20">
        <f t="shared" si="22"/>
        <v>2.88</v>
      </c>
      <c r="J188" s="75">
        <f t="shared" si="23"/>
        <v>1.7629999999999999</v>
      </c>
      <c r="K188" s="767"/>
      <c r="L188" s="20"/>
      <c r="M188" s="20"/>
      <c r="N188" s="20"/>
      <c r="O188" s="20"/>
      <c r="P188" s="20"/>
      <c r="Q188" s="23"/>
      <c r="R188" s="22" t="s">
        <v>16</v>
      </c>
      <c r="S188" s="22" t="s">
        <v>16</v>
      </c>
      <c r="T188" s="20">
        <f t="shared" si="20"/>
        <v>1926.5393844923076</v>
      </c>
      <c r="U188" s="22">
        <v>1</v>
      </c>
      <c r="V188" s="20"/>
    </row>
    <row r="189" spans="1:22" s="294" customFormat="1">
      <c r="A189" s="293" t="s">
        <v>2111</v>
      </c>
      <c r="B189" s="2" t="s">
        <v>22</v>
      </c>
      <c r="C189" s="2">
        <v>300</v>
      </c>
      <c r="D189" s="2">
        <v>150</v>
      </c>
      <c r="E189" s="2">
        <v>88</v>
      </c>
      <c r="F189" s="2">
        <v>64</v>
      </c>
      <c r="G189" s="21">
        <f t="shared" si="24"/>
        <v>3.42</v>
      </c>
      <c r="H189" s="20">
        <f t="shared" si="21"/>
        <v>3.96</v>
      </c>
      <c r="I189" s="20">
        <f t="shared" si="22"/>
        <v>3.42</v>
      </c>
      <c r="J189" s="75">
        <f t="shared" si="23"/>
        <v>2.2850000000000001</v>
      </c>
      <c r="K189" s="767"/>
      <c r="L189" s="20"/>
      <c r="M189" s="20"/>
      <c r="N189" s="20"/>
      <c r="O189" s="20"/>
      <c r="P189" s="20"/>
      <c r="Q189" s="23"/>
      <c r="R189" s="22" t="s">
        <v>16</v>
      </c>
      <c r="S189" s="22" t="s">
        <v>16</v>
      </c>
      <c r="T189" s="20">
        <f t="shared" si="20"/>
        <v>2226.7792885690305</v>
      </c>
      <c r="U189" s="22">
        <v>1</v>
      </c>
      <c r="V189" s="20"/>
    </row>
    <row r="190" spans="1:22" s="294" customFormat="1">
      <c r="A190" s="293" t="s">
        <v>598</v>
      </c>
      <c r="B190" s="2" t="s">
        <v>22</v>
      </c>
      <c r="C190" s="2">
        <v>300</v>
      </c>
      <c r="D190" s="2">
        <v>150</v>
      </c>
      <c r="E190" s="2">
        <v>89</v>
      </c>
      <c r="F190" s="2">
        <v>39</v>
      </c>
      <c r="G190" s="21">
        <f t="shared" si="24"/>
        <v>2.88</v>
      </c>
      <c r="H190" s="20">
        <f t="shared" si="21"/>
        <v>4.0049999999999999</v>
      </c>
      <c r="I190" s="20">
        <f t="shared" si="22"/>
        <v>2.88</v>
      </c>
      <c r="J190" s="75">
        <f t="shared" si="23"/>
        <v>1.3979999999999999</v>
      </c>
      <c r="K190" s="767"/>
      <c r="L190" s="20"/>
      <c r="M190" s="20"/>
      <c r="N190" s="20"/>
      <c r="O190" s="20"/>
      <c r="P190" s="20"/>
      <c r="Q190" s="23"/>
      <c r="R190" s="22" t="s">
        <v>16</v>
      </c>
      <c r="S190" s="22" t="s">
        <v>16</v>
      </c>
      <c r="T190" s="20">
        <f t="shared" si="20"/>
        <v>1083.7435120913067</v>
      </c>
      <c r="U190" s="22">
        <v>1</v>
      </c>
      <c r="V190" s="20"/>
    </row>
    <row r="191" spans="1:22" s="294" customFormat="1">
      <c r="A191" s="293" t="s">
        <v>2112</v>
      </c>
      <c r="B191" s="2" t="s">
        <v>22</v>
      </c>
      <c r="C191" s="2">
        <v>300</v>
      </c>
      <c r="D191" s="2">
        <v>150</v>
      </c>
      <c r="E191" s="2">
        <v>101</v>
      </c>
      <c r="F191" s="2">
        <v>51</v>
      </c>
      <c r="G191" s="21">
        <f t="shared" si="24"/>
        <v>3.42</v>
      </c>
      <c r="H191" s="20">
        <f t="shared" si="21"/>
        <v>4.5449999999999999</v>
      </c>
      <c r="I191" s="20">
        <f t="shared" si="22"/>
        <v>3.42</v>
      </c>
      <c r="J191" s="75">
        <f t="shared" si="23"/>
        <v>1.92</v>
      </c>
      <c r="K191" s="767"/>
      <c r="L191" s="20"/>
      <c r="M191" s="20"/>
      <c r="N191" s="20"/>
      <c r="O191" s="20"/>
      <c r="P191" s="20"/>
      <c r="Q191" s="23"/>
      <c r="R191" s="22" t="s">
        <v>16</v>
      </c>
      <c r="S191" s="22" t="s">
        <v>16</v>
      </c>
      <c r="T191" s="20">
        <f t="shared" si="20"/>
        <v>1228.2426470368143</v>
      </c>
      <c r="U191" s="22">
        <v>1</v>
      </c>
      <c r="V191" s="20"/>
    </row>
    <row r="192" spans="1:22" s="294" customFormat="1" ht="13.8" thickBot="1">
      <c r="A192" s="293" t="s">
        <v>427</v>
      </c>
      <c r="B192" s="2" t="s">
        <v>22</v>
      </c>
      <c r="C192" s="2">
        <v>300</v>
      </c>
      <c r="D192" s="2">
        <v>150</v>
      </c>
      <c r="E192" s="2">
        <v>79</v>
      </c>
      <c r="F192" s="2">
        <v>73</v>
      </c>
      <c r="G192" s="21">
        <f t="shared" si="24"/>
        <v>3.42</v>
      </c>
      <c r="H192" s="20">
        <f>ROUND(C192*D192*E192/10^6,3)</f>
        <v>3.5550000000000002</v>
      </c>
      <c r="I192" s="20">
        <f>IF(F192="","-",ROUND((E192+F192)*C192/2*D192/10^6,3))</f>
        <v>3.42</v>
      </c>
      <c r="J192" s="75">
        <f>IF(F192="","-",ROUND((D192+E192)*C192/2*F192/10^6,3))</f>
        <v>2.508</v>
      </c>
      <c r="K192" s="767"/>
      <c r="L192" s="20"/>
      <c r="M192" s="20"/>
      <c r="N192" s="20"/>
      <c r="O192" s="20"/>
      <c r="P192" s="20"/>
      <c r="Q192" s="23"/>
      <c r="R192" s="22">
        <f>D192</f>
        <v>150</v>
      </c>
      <c r="S192" s="20"/>
      <c r="T192" s="20">
        <f>(E192+U192)/2/(SIN(RADIANS((ATAN(((E192+U192)-(F192+U192))/2/C192)*180/PI()))))*2</f>
        <v>8000.3999900005001</v>
      </c>
      <c r="U192" s="22">
        <v>1</v>
      </c>
      <c r="V192" s="20"/>
    </row>
    <row r="193" spans="1:22" s="63" customFormat="1" ht="25.2" thickBot="1">
      <c r="A193" s="355" t="s">
        <v>604</v>
      </c>
      <c r="B193" s="65"/>
      <c r="C193" s="65"/>
      <c r="D193" s="65"/>
      <c r="E193" s="65"/>
      <c r="F193" s="65"/>
      <c r="G193" s="101"/>
      <c r="H193" s="65"/>
      <c r="I193" s="65"/>
      <c r="J193" s="66"/>
      <c r="K193" s="59"/>
      <c r="L193" s="60"/>
      <c r="M193" s="60"/>
      <c r="N193" s="60"/>
      <c r="O193" s="60"/>
      <c r="P193" s="60"/>
      <c r="Q193" s="61"/>
      <c r="R193" s="62"/>
      <c r="S193" s="60"/>
      <c r="T193" s="60"/>
      <c r="U193" s="62"/>
      <c r="V193" s="60"/>
    </row>
    <row r="194" spans="1:22" ht="12.75" customHeight="1">
      <c r="A194" s="76" t="s">
        <v>609</v>
      </c>
      <c r="B194" s="2" t="s">
        <v>22</v>
      </c>
      <c r="C194" s="2">
        <v>250</v>
      </c>
      <c r="D194" s="2">
        <v>65</v>
      </c>
      <c r="E194" s="2">
        <v>126</v>
      </c>
      <c r="F194" s="2">
        <v>122</v>
      </c>
      <c r="G194" s="21">
        <f t="shared" si="24"/>
        <v>2.0150000000000001</v>
      </c>
      <c r="H194" s="20">
        <f t="shared" ref="H194:H224" si="27">ROUND(C194*D194*E194/10^6,3)</f>
        <v>2.048</v>
      </c>
      <c r="I194" s="20">
        <f t="shared" ref="I194:I224" si="28">IF(F194="","-",ROUND((E194+F194)*C194/2*D194/10^6,3))</f>
        <v>2.0150000000000001</v>
      </c>
      <c r="J194" s="75">
        <f t="shared" ref="J194:J224" si="29">IF(F194="","-",ROUND((D194+E194)*C194/2*F194/10^6,3))</f>
        <v>2.9129999999999998</v>
      </c>
      <c r="K194" s="766" t="s">
        <v>526</v>
      </c>
      <c r="L194" s="20"/>
      <c r="M194" s="20"/>
      <c r="N194" s="20"/>
      <c r="O194" s="20"/>
      <c r="P194" s="20"/>
      <c r="Q194" s="23"/>
      <c r="R194" s="22" t="s">
        <v>16</v>
      </c>
      <c r="S194" s="22" t="s">
        <v>16</v>
      </c>
      <c r="T194" s="20">
        <f t="shared" ref="T194:T224" si="30">(E194+U194)/2/(SIN(RADIANS((ATAN(((E194+U194)-(F194+U194))/2/C194)*180/PI()))))*2</f>
        <v>15875.507991872257</v>
      </c>
      <c r="U194" s="22">
        <v>1</v>
      </c>
      <c r="V194" s="20"/>
    </row>
    <row r="195" spans="1:22" ht="12.75" customHeight="1">
      <c r="A195" s="76" t="s">
        <v>610</v>
      </c>
      <c r="B195" s="2" t="s">
        <v>22</v>
      </c>
      <c r="C195" s="2">
        <v>250</v>
      </c>
      <c r="D195" s="2">
        <v>65</v>
      </c>
      <c r="E195" s="2">
        <v>126.5</v>
      </c>
      <c r="F195" s="2">
        <v>121.5</v>
      </c>
      <c r="G195" s="21">
        <f t="shared" si="24"/>
        <v>2.0150000000000001</v>
      </c>
      <c r="H195" s="20">
        <f t="shared" ref="H195" si="31">ROUND(C195*D195*E195/10^6,3)</f>
        <v>2.056</v>
      </c>
      <c r="I195" s="20">
        <f t="shared" ref="I195" si="32">IF(F195="","-",ROUND((E195+F195)*C195/2*D195/10^6,3))</f>
        <v>2.0150000000000001</v>
      </c>
      <c r="J195" s="75">
        <f t="shared" ref="J195" si="33">IF(F195="","-",ROUND((D195+E195)*C195/2*F195/10^6,3))</f>
        <v>2.9079999999999999</v>
      </c>
      <c r="K195" s="767"/>
      <c r="L195" s="20"/>
      <c r="M195" s="20"/>
      <c r="N195" s="20"/>
      <c r="O195" s="20"/>
      <c r="P195" s="20"/>
      <c r="Q195" s="23"/>
      <c r="R195" s="22" t="s">
        <v>16</v>
      </c>
      <c r="S195" s="22" t="s">
        <v>16</v>
      </c>
      <c r="T195" s="20">
        <f t="shared" ref="T195" si="34">(E195+U195)/2/(SIN(RADIANS((ATAN(((E195+U195)-(F195+U195))/2/C195)*180/PI()))))*2</f>
        <v>12750.637484063296</v>
      </c>
      <c r="U195" s="22">
        <v>1</v>
      </c>
      <c r="V195" s="20"/>
    </row>
    <row r="196" spans="1:22" ht="12.75" customHeight="1">
      <c r="A196" s="76" t="s">
        <v>611</v>
      </c>
      <c r="B196" s="2" t="s">
        <v>22</v>
      </c>
      <c r="C196" s="2">
        <v>250</v>
      </c>
      <c r="D196" s="2">
        <v>65</v>
      </c>
      <c r="E196" s="2">
        <v>127</v>
      </c>
      <c r="F196" s="2">
        <v>121</v>
      </c>
      <c r="G196" s="21">
        <f t="shared" si="24"/>
        <v>2.0150000000000001</v>
      </c>
      <c r="H196" s="20">
        <f t="shared" si="27"/>
        <v>2.0640000000000001</v>
      </c>
      <c r="I196" s="20">
        <f t="shared" si="28"/>
        <v>2.0150000000000001</v>
      </c>
      <c r="J196" s="75">
        <f t="shared" si="29"/>
        <v>2.9039999999999999</v>
      </c>
      <c r="K196" s="767"/>
      <c r="L196" s="20"/>
      <c r="M196" s="20"/>
      <c r="N196" s="20"/>
      <c r="O196" s="20"/>
      <c r="P196" s="20"/>
      <c r="Q196" s="23"/>
      <c r="R196" s="22" t="s">
        <v>16</v>
      </c>
      <c r="S196" s="22" t="s">
        <v>16</v>
      </c>
      <c r="T196" s="20">
        <f t="shared" si="30"/>
        <v>10667.434639020657</v>
      </c>
      <c r="U196" s="22">
        <v>1</v>
      </c>
      <c r="V196" s="20"/>
    </row>
    <row r="197" spans="1:22" ht="12.75" customHeight="1">
      <c r="A197" s="76" t="s">
        <v>612</v>
      </c>
      <c r="B197" s="2" t="s">
        <v>22</v>
      </c>
      <c r="C197" s="2">
        <v>250</v>
      </c>
      <c r="D197" s="2">
        <v>65</v>
      </c>
      <c r="E197" s="2">
        <v>123</v>
      </c>
      <c r="F197" s="2">
        <v>116</v>
      </c>
      <c r="G197" s="21">
        <f t="shared" si="24"/>
        <v>1.941875</v>
      </c>
      <c r="H197" s="20">
        <f t="shared" si="27"/>
        <v>1.9990000000000001</v>
      </c>
      <c r="I197" s="20">
        <f t="shared" si="28"/>
        <v>1.9419999999999999</v>
      </c>
      <c r="J197" s="75">
        <f t="shared" si="29"/>
        <v>2.726</v>
      </c>
      <c r="K197" s="767"/>
      <c r="L197" s="20"/>
      <c r="M197" s="20"/>
      <c r="N197" s="20"/>
      <c r="O197" s="20"/>
      <c r="P197" s="20"/>
      <c r="Q197" s="23"/>
      <c r="R197" s="22" t="s">
        <v>16</v>
      </c>
      <c r="S197" s="22" t="s">
        <v>16</v>
      </c>
      <c r="T197" s="20">
        <f t="shared" si="30"/>
        <v>8858.0108146150251</v>
      </c>
      <c r="U197" s="22">
        <v>1</v>
      </c>
      <c r="V197" s="20"/>
    </row>
    <row r="198" spans="1:22" ht="12.75" customHeight="1">
      <c r="A198" s="76" t="s">
        <v>613</v>
      </c>
      <c r="B198" s="2" t="s">
        <v>22</v>
      </c>
      <c r="C198" s="2">
        <v>250</v>
      </c>
      <c r="D198" s="2">
        <v>65</v>
      </c>
      <c r="E198" s="2">
        <v>129</v>
      </c>
      <c r="F198" s="2">
        <v>119</v>
      </c>
      <c r="G198" s="21">
        <f t="shared" si="24"/>
        <v>2.0150000000000001</v>
      </c>
      <c r="H198" s="20">
        <f t="shared" si="27"/>
        <v>2.0960000000000001</v>
      </c>
      <c r="I198" s="20">
        <f t="shared" si="28"/>
        <v>2.0150000000000001</v>
      </c>
      <c r="J198" s="75">
        <f t="shared" si="29"/>
        <v>2.8860000000000001</v>
      </c>
      <c r="K198" s="767"/>
      <c r="L198" s="20"/>
      <c r="M198" s="20"/>
      <c r="N198" s="20"/>
      <c r="O198" s="20"/>
      <c r="P198" s="20"/>
      <c r="Q198" s="23"/>
      <c r="R198" s="22" t="s">
        <v>16</v>
      </c>
      <c r="S198" s="22" t="s">
        <v>16</v>
      </c>
      <c r="T198" s="20">
        <f t="shared" si="30"/>
        <v>6501.2998700259932</v>
      </c>
      <c r="U198" s="22">
        <v>1</v>
      </c>
      <c r="V198" s="20"/>
    </row>
    <row r="199" spans="1:22" ht="12.75" customHeight="1">
      <c r="A199" s="76" t="s">
        <v>614</v>
      </c>
      <c r="B199" s="2" t="s">
        <v>22</v>
      </c>
      <c r="C199" s="2">
        <v>250</v>
      </c>
      <c r="D199" s="2">
        <v>65</v>
      </c>
      <c r="E199" s="2">
        <v>123</v>
      </c>
      <c r="F199" s="2">
        <v>108</v>
      </c>
      <c r="G199" s="21">
        <f t="shared" ref="G199:G261" si="35">IF(B199="","",AVERAGE(E199:F199)*D199*C199/10^6)</f>
        <v>1.8768750000000001</v>
      </c>
      <c r="H199" s="20">
        <f t="shared" si="27"/>
        <v>1.9990000000000001</v>
      </c>
      <c r="I199" s="20">
        <f t="shared" si="28"/>
        <v>1.877</v>
      </c>
      <c r="J199" s="75">
        <f t="shared" si="29"/>
        <v>2.5379999999999998</v>
      </c>
      <c r="K199" s="767"/>
      <c r="L199" s="20"/>
      <c r="M199" s="20"/>
      <c r="N199" s="20"/>
      <c r="O199" s="20"/>
      <c r="P199" s="20"/>
      <c r="Q199" s="23"/>
      <c r="R199" s="22" t="s">
        <v>16</v>
      </c>
      <c r="S199" s="22" t="s">
        <v>16</v>
      </c>
      <c r="T199" s="20">
        <f t="shared" si="30"/>
        <v>4135.1929150215519</v>
      </c>
      <c r="U199" s="22">
        <v>1</v>
      </c>
      <c r="V199" s="20"/>
    </row>
    <row r="200" spans="1:22" ht="12.75" customHeight="1">
      <c r="A200" s="76" t="s">
        <v>605</v>
      </c>
      <c r="B200" s="2" t="s">
        <v>22</v>
      </c>
      <c r="C200" s="2">
        <v>250</v>
      </c>
      <c r="D200" s="2">
        <v>90</v>
      </c>
      <c r="E200" s="2">
        <v>125</v>
      </c>
      <c r="F200" s="2">
        <v>125</v>
      </c>
      <c r="G200" s="21">
        <f t="shared" si="35"/>
        <v>2.8125</v>
      </c>
      <c r="H200" s="20">
        <f t="shared" si="27"/>
        <v>2.8130000000000002</v>
      </c>
      <c r="I200" s="20">
        <f t="shared" si="28"/>
        <v>2.8130000000000002</v>
      </c>
      <c r="J200" s="75">
        <f t="shared" si="29"/>
        <v>3.359</v>
      </c>
      <c r="K200" s="767"/>
      <c r="L200" s="20"/>
      <c r="M200" s="20"/>
      <c r="N200" s="20"/>
      <c r="O200" s="20"/>
      <c r="P200" s="20"/>
      <c r="Q200" s="23"/>
      <c r="R200" s="22" t="s">
        <v>16</v>
      </c>
      <c r="S200" s="22" t="s">
        <v>16</v>
      </c>
      <c r="T200" s="20" t="e">
        <f t="shared" si="30"/>
        <v>#DIV/0!</v>
      </c>
      <c r="U200" s="22">
        <v>1</v>
      </c>
      <c r="V200" s="20"/>
    </row>
    <row r="201" spans="1:22" ht="12.75" customHeight="1">
      <c r="A201" s="76" t="s">
        <v>606</v>
      </c>
      <c r="B201" s="2" t="s">
        <v>22</v>
      </c>
      <c r="C201" s="2">
        <v>250</v>
      </c>
      <c r="D201" s="2">
        <v>90</v>
      </c>
      <c r="E201" s="2">
        <v>129</v>
      </c>
      <c r="F201" s="2">
        <v>121</v>
      </c>
      <c r="G201" s="21">
        <f t="shared" si="35"/>
        <v>2.8125</v>
      </c>
      <c r="H201" s="20">
        <f t="shared" si="27"/>
        <v>2.903</v>
      </c>
      <c r="I201" s="20">
        <f t="shared" si="28"/>
        <v>2.8130000000000002</v>
      </c>
      <c r="J201" s="75">
        <f t="shared" si="29"/>
        <v>3.3119999999999998</v>
      </c>
      <c r="K201" s="767"/>
      <c r="L201" s="20"/>
      <c r="M201" s="20"/>
      <c r="N201" s="20"/>
      <c r="O201" s="20"/>
      <c r="P201" s="20"/>
      <c r="Q201" s="23"/>
      <c r="R201" s="22" t="s">
        <v>16</v>
      </c>
      <c r="S201" s="22" t="s">
        <v>16</v>
      </c>
      <c r="T201" s="20">
        <f t="shared" si="30"/>
        <v>8126.0399334485173</v>
      </c>
      <c r="U201" s="22">
        <v>1</v>
      </c>
      <c r="V201" s="20"/>
    </row>
    <row r="202" spans="1:22" ht="12.75" customHeight="1">
      <c r="A202" s="76" t="s">
        <v>607</v>
      </c>
      <c r="B202" s="2" t="s">
        <v>22</v>
      </c>
      <c r="C202" s="2">
        <v>250</v>
      </c>
      <c r="D202" s="2">
        <v>90</v>
      </c>
      <c r="E202" s="2">
        <v>134</v>
      </c>
      <c r="F202" s="2">
        <v>116</v>
      </c>
      <c r="G202" s="21">
        <f t="shared" si="35"/>
        <v>2.8125</v>
      </c>
      <c r="H202" s="20">
        <f t="shared" si="27"/>
        <v>3.0150000000000001</v>
      </c>
      <c r="I202" s="20">
        <f t="shared" si="28"/>
        <v>2.8130000000000002</v>
      </c>
      <c r="J202" s="75">
        <f t="shared" si="29"/>
        <v>3.2480000000000002</v>
      </c>
      <c r="K202" s="767"/>
      <c r="L202" s="20"/>
      <c r="M202" s="20"/>
      <c r="N202" s="20"/>
      <c r="O202" s="20"/>
      <c r="P202" s="20"/>
      <c r="Q202" s="23"/>
      <c r="R202" s="22" t="s">
        <v>16</v>
      </c>
      <c r="S202" s="22" t="s">
        <v>16</v>
      </c>
      <c r="T202" s="20">
        <f t="shared" si="30"/>
        <v>3752.429213189771</v>
      </c>
      <c r="U202" s="22">
        <v>1</v>
      </c>
      <c r="V202" s="20"/>
    </row>
    <row r="203" spans="1:22" ht="12.75" customHeight="1">
      <c r="A203" s="76" t="s">
        <v>608</v>
      </c>
      <c r="B203" s="2" t="s">
        <v>22</v>
      </c>
      <c r="C203" s="2">
        <v>250</v>
      </c>
      <c r="D203" s="2">
        <v>90</v>
      </c>
      <c r="E203" s="2">
        <v>138</v>
      </c>
      <c r="F203" s="2">
        <v>112</v>
      </c>
      <c r="G203" s="21">
        <f t="shared" si="35"/>
        <v>2.8125</v>
      </c>
      <c r="H203" s="20">
        <f t="shared" si="27"/>
        <v>3.105</v>
      </c>
      <c r="I203" s="20">
        <f t="shared" si="28"/>
        <v>2.8130000000000002</v>
      </c>
      <c r="J203" s="75">
        <f t="shared" si="29"/>
        <v>3.1920000000000002</v>
      </c>
      <c r="K203" s="767"/>
      <c r="L203" s="20"/>
      <c r="M203" s="20"/>
      <c r="N203" s="20"/>
      <c r="O203" s="20"/>
      <c r="P203" s="20"/>
      <c r="Q203" s="23"/>
      <c r="R203" s="22" t="s">
        <v>16</v>
      </c>
      <c r="S203" s="22" t="s">
        <v>16</v>
      </c>
      <c r="T203" s="20">
        <f t="shared" si="30"/>
        <v>2676.6884833103741</v>
      </c>
      <c r="U203" s="22">
        <v>1</v>
      </c>
      <c r="V203" s="20"/>
    </row>
    <row r="204" spans="1:22" ht="12.75" customHeight="1">
      <c r="A204" s="76" t="s">
        <v>615</v>
      </c>
      <c r="B204" s="2" t="s">
        <v>22</v>
      </c>
      <c r="C204" s="2">
        <v>250</v>
      </c>
      <c r="D204" s="2">
        <v>124</v>
      </c>
      <c r="E204" s="2">
        <v>125</v>
      </c>
      <c r="F204" s="2">
        <v>125</v>
      </c>
      <c r="G204" s="21">
        <f t="shared" si="35"/>
        <v>3.875</v>
      </c>
      <c r="H204" s="20">
        <f t="shared" si="27"/>
        <v>3.875</v>
      </c>
      <c r="I204" s="20">
        <f t="shared" si="28"/>
        <v>3.875</v>
      </c>
      <c r="J204" s="75">
        <f t="shared" si="29"/>
        <v>3.891</v>
      </c>
      <c r="K204" s="767"/>
      <c r="L204" s="20"/>
      <c r="M204" s="20"/>
      <c r="N204" s="20"/>
      <c r="O204" s="20"/>
      <c r="P204" s="20"/>
      <c r="Q204" s="23"/>
      <c r="R204" s="22" t="s">
        <v>16</v>
      </c>
      <c r="S204" s="22" t="s">
        <v>16</v>
      </c>
      <c r="T204" s="20" t="e">
        <f t="shared" si="30"/>
        <v>#DIV/0!</v>
      </c>
      <c r="U204" s="22">
        <v>1</v>
      </c>
      <c r="V204" s="20"/>
    </row>
    <row r="205" spans="1:22" ht="12.75" customHeight="1">
      <c r="A205" s="76" t="s">
        <v>633</v>
      </c>
      <c r="B205" s="2" t="s">
        <v>22</v>
      </c>
      <c r="C205" s="2">
        <v>250</v>
      </c>
      <c r="D205" s="2">
        <v>124</v>
      </c>
      <c r="E205" s="2">
        <v>128</v>
      </c>
      <c r="F205" s="2">
        <v>122</v>
      </c>
      <c r="G205" s="21">
        <f t="shared" si="35"/>
        <v>3.875</v>
      </c>
      <c r="H205" s="20">
        <f t="shared" si="27"/>
        <v>3.968</v>
      </c>
      <c r="I205" s="20">
        <f t="shared" si="28"/>
        <v>3.875</v>
      </c>
      <c r="J205" s="75">
        <f t="shared" si="29"/>
        <v>3.843</v>
      </c>
      <c r="K205" s="767"/>
      <c r="L205" s="20"/>
      <c r="M205" s="20"/>
      <c r="N205" s="20"/>
      <c r="O205" s="20"/>
      <c r="P205" s="20"/>
      <c r="Q205" s="23"/>
      <c r="R205" s="22" t="s">
        <v>16</v>
      </c>
      <c r="S205" s="22" t="s">
        <v>16</v>
      </c>
      <c r="T205" s="20">
        <f t="shared" si="30"/>
        <v>10750.773972138006</v>
      </c>
      <c r="U205" s="22">
        <v>1</v>
      </c>
      <c r="V205" s="20"/>
    </row>
    <row r="206" spans="1:22" ht="12.75" customHeight="1">
      <c r="A206" s="76" t="s">
        <v>634</v>
      </c>
      <c r="B206" s="2" t="s">
        <v>22</v>
      </c>
      <c r="C206" s="2">
        <v>250</v>
      </c>
      <c r="D206" s="2">
        <v>124</v>
      </c>
      <c r="E206" s="2">
        <v>130</v>
      </c>
      <c r="F206" s="2">
        <v>120</v>
      </c>
      <c r="G206" s="21">
        <f t="shared" si="35"/>
        <v>3.875</v>
      </c>
      <c r="H206" s="20">
        <f t="shared" si="27"/>
        <v>4.03</v>
      </c>
      <c r="I206" s="20">
        <f t="shared" si="28"/>
        <v>3.875</v>
      </c>
      <c r="J206" s="75">
        <f t="shared" si="29"/>
        <v>3.81</v>
      </c>
      <c r="K206" s="767"/>
      <c r="L206" s="20"/>
      <c r="M206" s="20"/>
      <c r="N206" s="20"/>
      <c r="O206" s="20"/>
      <c r="P206" s="20"/>
      <c r="Q206" s="23"/>
      <c r="R206" s="22" t="s">
        <v>16</v>
      </c>
      <c r="S206" s="22" t="s">
        <v>16</v>
      </c>
      <c r="T206" s="20">
        <f t="shared" si="30"/>
        <v>6551.3098690261932</v>
      </c>
      <c r="U206" s="22">
        <v>1</v>
      </c>
      <c r="V206" s="20"/>
    </row>
    <row r="207" spans="1:22" ht="12.75" customHeight="1">
      <c r="A207" s="76" t="s">
        <v>635</v>
      </c>
      <c r="B207" s="2" t="s">
        <v>22</v>
      </c>
      <c r="C207" s="2">
        <v>250</v>
      </c>
      <c r="D207" s="2">
        <v>124</v>
      </c>
      <c r="E207" s="2">
        <v>137</v>
      </c>
      <c r="F207" s="2">
        <v>113</v>
      </c>
      <c r="G207" s="21">
        <f t="shared" si="35"/>
        <v>3.875</v>
      </c>
      <c r="H207" s="20">
        <f t="shared" si="27"/>
        <v>4.2469999999999999</v>
      </c>
      <c r="I207" s="20">
        <f t="shared" si="28"/>
        <v>3.875</v>
      </c>
      <c r="J207" s="75">
        <f t="shared" si="29"/>
        <v>3.6869999999999998</v>
      </c>
      <c r="K207" s="767"/>
      <c r="L207" s="20"/>
      <c r="M207" s="20"/>
      <c r="N207" s="20"/>
      <c r="O207" s="20"/>
      <c r="P207" s="20"/>
      <c r="Q207" s="23"/>
      <c r="R207" s="22" t="s">
        <v>16</v>
      </c>
      <c r="S207" s="22" t="s">
        <v>16</v>
      </c>
      <c r="T207" s="20">
        <f t="shared" si="30"/>
        <v>2878.3100944825246</v>
      </c>
      <c r="U207" s="22">
        <v>1</v>
      </c>
      <c r="V207" s="20"/>
    </row>
    <row r="208" spans="1:22" ht="12.75" customHeight="1">
      <c r="A208" s="76" t="s">
        <v>616</v>
      </c>
      <c r="B208" s="2" t="s">
        <v>22</v>
      </c>
      <c r="C208" s="2">
        <v>250</v>
      </c>
      <c r="D208" s="2">
        <v>155</v>
      </c>
      <c r="E208" s="2">
        <v>100</v>
      </c>
      <c r="F208" s="2">
        <v>100</v>
      </c>
      <c r="G208" s="21">
        <f t="shared" si="35"/>
        <v>3.875</v>
      </c>
      <c r="H208" s="20">
        <f t="shared" si="27"/>
        <v>3.875</v>
      </c>
      <c r="I208" s="20">
        <f t="shared" si="28"/>
        <v>3.875</v>
      </c>
      <c r="J208" s="75">
        <f t="shared" si="29"/>
        <v>3.1880000000000002</v>
      </c>
      <c r="K208" s="767"/>
      <c r="L208" s="20"/>
      <c r="M208" s="20"/>
      <c r="N208" s="20"/>
      <c r="O208" s="20"/>
      <c r="P208" s="20"/>
      <c r="Q208" s="23"/>
      <c r="R208" s="22" t="s">
        <v>16</v>
      </c>
      <c r="S208" s="22" t="s">
        <v>16</v>
      </c>
      <c r="T208" s="20" t="e">
        <f t="shared" si="30"/>
        <v>#DIV/0!</v>
      </c>
      <c r="U208" s="22">
        <v>1</v>
      </c>
      <c r="V208" s="20"/>
    </row>
    <row r="209" spans="1:22" ht="12.75" customHeight="1">
      <c r="A209" s="76" t="s">
        <v>617</v>
      </c>
      <c r="B209" s="2" t="s">
        <v>22</v>
      </c>
      <c r="C209" s="2">
        <v>250</v>
      </c>
      <c r="D209" s="2">
        <v>155</v>
      </c>
      <c r="E209" s="2">
        <v>103</v>
      </c>
      <c r="F209" s="2">
        <v>97</v>
      </c>
      <c r="G209" s="21">
        <f t="shared" si="35"/>
        <v>3.875</v>
      </c>
      <c r="H209" s="20">
        <f t="shared" si="27"/>
        <v>3.9910000000000001</v>
      </c>
      <c r="I209" s="20">
        <f t="shared" si="28"/>
        <v>3.875</v>
      </c>
      <c r="J209" s="75">
        <f t="shared" si="29"/>
        <v>3.1280000000000001</v>
      </c>
      <c r="K209" s="767"/>
      <c r="L209" s="20"/>
      <c r="M209" s="20"/>
      <c r="N209" s="20"/>
      <c r="O209" s="20"/>
      <c r="P209" s="20"/>
      <c r="Q209" s="23"/>
      <c r="R209" s="22" t="s">
        <v>16</v>
      </c>
      <c r="S209" s="22" t="s">
        <v>16</v>
      </c>
      <c r="T209" s="20">
        <f t="shared" si="30"/>
        <v>8667.290644204284</v>
      </c>
      <c r="U209" s="22">
        <v>1</v>
      </c>
      <c r="V209" s="20"/>
    </row>
    <row r="210" spans="1:22" ht="12.75" customHeight="1">
      <c r="A210" s="76" t="s">
        <v>618</v>
      </c>
      <c r="B210" s="2" t="s">
        <v>22</v>
      </c>
      <c r="C210" s="2">
        <v>250</v>
      </c>
      <c r="D210" s="2">
        <v>155</v>
      </c>
      <c r="E210" s="2">
        <v>105</v>
      </c>
      <c r="F210" s="2">
        <v>95</v>
      </c>
      <c r="G210" s="21">
        <f t="shared" si="35"/>
        <v>3.875</v>
      </c>
      <c r="H210" s="20">
        <f t="shared" si="27"/>
        <v>4.069</v>
      </c>
      <c r="I210" s="20">
        <f t="shared" si="28"/>
        <v>3.875</v>
      </c>
      <c r="J210" s="75">
        <f t="shared" si="29"/>
        <v>3.0880000000000001</v>
      </c>
      <c r="K210" s="767"/>
      <c r="L210" s="20"/>
      <c r="M210" s="20"/>
      <c r="N210" s="20"/>
      <c r="O210" s="20"/>
      <c r="P210" s="20"/>
      <c r="Q210" s="23"/>
      <c r="R210" s="22" t="s">
        <v>16</v>
      </c>
      <c r="S210" s="22" t="s">
        <v>16</v>
      </c>
      <c r="T210" s="20">
        <f t="shared" si="30"/>
        <v>5301.0598940211939</v>
      </c>
      <c r="U210" s="22">
        <v>1</v>
      </c>
      <c r="V210" s="20"/>
    </row>
    <row r="211" spans="1:22" ht="12.75" customHeight="1">
      <c r="A211" s="76" t="s">
        <v>619</v>
      </c>
      <c r="B211" s="2" t="s">
        <v>22</v>
      </c>
      <c r="C211" s="2">
        <v>250</v>
      </c>
      <c r="D211" s="2">
        <v>155</v>
      </c>
      <c r="E211" s="2">
        <v>110</v>
      </c>
      <c r="F211" s="2">
        <v>90</v>
      </c>
      <c r="G211" s="21">
        <f t="shared" si="35"/>
        <v>3.875</v>
      </c>
      <c r="H211" s="20">
        <f t="shared" si="27"/>
        <v>4.2629999999999999</v>
      </c>
      <c r="I211" s="20">
        <f t="shared" si="28"/>
        <v>3.875</v>
      </c>
      <c r="J211" s="75">
        <f t="shared" si="29"/>
        <v>2.9809999999999999</v>
      </c>
      <c r="K211" s="767"/>
      <c r="L211" s="20"/>
      <c r="M211" s="20"/>
      <c r="N211" s="20"/>
      <c r="O211" s="20"/>
      <c r="P211" s="20"/>
      <c r="Q211" s="23"/>
      <c r="R211" s="22" t="s">
        <v>16</v>
      </c>
      <c r="S211" s="22" t="s">
        <v>16</v>
      </c>
      <c r="T211" s="20">
        <f t="shared" si="30"/>
        <v>2777.2191127096899</v>
      </c>
      <c r="U211" s="22">
        <v>1</v>
      </c>
      <c r="V211" s="20"/>
    </row>
    <row r="212" spans="1:22" ht="12.75" customHeight="1">
      <c r="A212" s="76" t="s">
        <v>620</v>
      </c>
      <c r="B212" s="2" t="s">
        <v>22</v>
      </c>
      <c r="C212" s="2">
        <v>250</v>
      </c>
      <c r="D212" s="2">
        <v>155</v>
      </c>
      <c r="E212" s="2">
        <v>113</v>
      </c>
      <c r="F212" s="2">
        <v>87</v>
      </c>
      <c r="G212" s="21">
        <f t="shared" si="35"/>
        <v>3.875</v>
      </c>
      <c r="H212" s="20">
        <f t="shared" si="27"/>
        <v>4.3789999999999996</v>
      </c>
      <c r="I212" s="20">
        <f t="shared" si="28"/>
        <v>3.875</v>
      </c>
      <c r="J212" s="75">
        <f t="shared" si="29"/>
        <v>2.915</v>
      </c>
      <c r="K212" s="767"/>
      <c r="L212" s="20"/>
      <c r="M212" s="20"/>
      <c r="N212" s="20"/>
      <c r="O212" s="20"/>
      <c r="P212" s="20"/>
      <c r="Q212" s="23"/>
      <c r="R212" s="22" t="s">
        <v>16</v>
      </c>
      <c r="S212" s="22" t="s">
        <v>16</v>
      </c>
      <c r="T212" s="20">
        <f t="shared" si="30"/>
        <v>2195.2696913480768</v>
      </c>
      <c r="U212" s="22">
        <v>1</v>
      </c>
      <c r="V212" s="20"/>
    </row>
    <row r="213" spans="1:22" ht="12.75" customHeight="1">
      <c r="A213" s="76" t="s">
        <v>621</v>
      </c>
      <c r="B213" s="2" t="s">
        <v>22</v>
      </c>
      <c r="C213" s="2">
        <v>250</v>
      </c>
      <c r="D213" s="2">
        <v>187</v>
      </c>
      <c r="E213" s="2">
        <v>100</v>
      </c>
      <c r="F213" s="2">
        <v>100</v>
      </c>
      <c r="G213" s="21">
        <f t="shared" si="35"/>
        <v>4.6749999999999998</v>
      </c>
      <c r="H213" s="20">
        <f t="shared" si="27"/>
        <v>4.6749999999999998</v>
      </c>
      <c r="I213" s="20">
        <f t="shared" si="28"/>
        <v>4.6749999999999998</v>
      </c>
      <c r="J213" s="75">
        <f t="shared" si="29"/>
        <v>3.5880000000000001</v>
      </c>
      <c r="K213" s="767"/>
      <c r="L213" s="20"/>
      <c r="M213" s="20"/>
      <c r="N213" s="20"/>
      <c r="O213" s="20"/>
      <c r="P213" s="20"/>
      <c r="Q213" s="23"/>
      <c r="R213" s="22" t="s">
        <v>16</v>
      </c>
      <c r="S213" s="22" t="s">
        <v>16</v>
      </c>
      <c r="T213" s="20" t="e">
        <f t="shared" si="30"/>
        <v>#DIV/0!</v>
      </c>
      <c r="U213" s="22">
        <v>1</v>
      </c>
      <c r="V213" s="20"/>
    </row>
    <row r="214" spans="1:22" ht="12.75" customHeight="1">
      <c r="A214" s="76" t="s">
        <v>622</v>
      </c>
      <c r="B214" s="2" t="s">
        <v>22</v>
      </c>
      <c r="C214" s="2">
        <v>250</v>
      </c>
      <c r="D214" s="2">
        <v>187</v>
      </c>
      <c r="E214" s="2">
        <v>104</v>
      </c>
      <c r="F214" s="2">
        <v>96</v>
      </c>
      <c r="G214" s="21">
        <f t="shared" si="35"/>
        <v>4.6749999999999998</v>
      </c>
      <c r="H214" s="20">
        <f t="shared" si="27"/>
        <v>4.8620000000000001</v>
      </c>
      <c r="I214" s="20">
        <f t="shared" si="28"/>
        <v>4.6749999999999998</v>
      </c>
      <c r="J214" s="75">
        <f t="shared" si="29"/>
        <v>3.492</v>
      </c>
      <c r="K214" s="767"/>
      <c r="L214" s="20"/>
      <c r="M214" s="20"/>
      <c r="N214" s="20"/>
      <c r="O214" s="20"/>
      <c r="P214" s="20"/>
      <c r="Q214" s="23"/>
      <c r="R214" s="22" t="s">
        <v>16</v>
      </c>
      <c r="S214" s="22" t="s">
        <v>16</v>
      </c>
      <c r="T214" s="20">
        <f t="shared" si="30"/>
        <v>6563.3399462468797</v>
      </c>
      <c r="U214" s="22">
        <v>1</v>
      </c>
      <c r="V214" s="20"/>
    </row>
    <row r="215" spans="1:22" ht="12.75" customHeight="1">
      <c r="A215" s="76" t="s">
        <v>623</v>
      </c>
      <c r="B215" s="2" t="s">
        <v>22</v>
      </c>
      <c r="C215" s="2">
        <v>250</v>
      </c>
      <c r="D215" s="2">
        <v>187</v>
      </c>
      <c r="E215" s="2">
        <v>105</v>
      </c>
      <c r="F215" s="2">
        <v>95</v>
      </c>
      <c r="G215" s="21">
        <f t="shared" si="35"/>
        <v>4.6749999999999998</v>
      </c>
      <c r="H215" s="20">
        <f t="shared" si="27"/>
        <v>4.9089999999999998</v>
      </c>
      <c r="I215" s="20">
        <f t="shared" si="28"/>
        <v>4.6749999999999998</v>
      </c>
      <c r="J215" s="75">
        <f t="shared" si="29"/>
        <v>3.468</v>
      </c>
      <c r="K215" s="767"/>
      <c r="L215" s="20"/>
      <c r="M215" s="20"/>
      <c r="N215" s="20"/>
      <c r="O215" s="20"/>
      <c r="P215" s="20"/>
      <c r="Q215" s="23"/>
      <c r="R215" s="22" t="s">
        <v>16</v>
      </c>
      <c r="S215" s="22" t="s">
        <v>16</v>
      </c>
      <c r="T215" s="20">
        <f t="shared" si="30"/>
        <v>5301.0598940211939</v>
      </c>
      <c r="U215" s="22">
        <v>1</v>
      </c>
      <c r="V215" s="20"/>
    </row>
    <row r="216" spans="1:22" ht="12.75" customHeight="1">
      <c r="A216" s="76" t="s">
        <v>624</v>
      </c>
      <c r="B216" s="2" t="s">
        <v>22</v>
      </c>
      <c r="C216" s="2">
        <v>250</v>
      </c>
      <c r="D216" s="2">
        <v>187</v>
      </c>
      <c r="E216" s="2">
        <v>106</v>
      </c>
      <c r="F216" s="2">
        <v>94</v>
      </c>
      <c r="G216" s="21">
        <f t="shared" si="35"/>
        <v>4.6749999999999998</v>
      </c>
      <c r="H216" s="20">
        <f t="shared" si="27"/>
        <v>4.9560000000000004</v>
      </c>
      <c r="I216" s="20">
        <f t="shared" si="28"/>
        <v>4.6749999999999998</v>
      </c>
      <c r="J216" s="75">
        <f t="shared" si="29"/>
        <v>3.4430000000000001</v>
      </c>
      <c r="K216" s="767"/>
      <c r="L216" s="20"/>
      <c r="M216" s="20"/>
      <c r="N216" s="20"/>
      <c r="O216" s="20"/>
      <c r="P216" s="20"/>
      <c r="Q216" s="23"/>
      <c r="R216" s="22" t="s">
        <v>16</v>
      </c>
      <c r="S216" s="22" t="s">
        <v>16</v>
      </c>
      <c r="T216" s="20">
        <f t="shared" si="30"/>
        <v>4459.6171484905635</v>
      </c>
      <c r="U216" s="22">
        <v>1</v>
      </c>
      <c r="V216" s="20"/>
    </row>
    <row r="217" spans="1:22" ht="12.75" customHeight="1">
      <c r="A217" s="76" t="s">
        <v>625</v>
      </c>
      <c r="B217" s="2" t="s">
        <v>22</v>
      </c>
      <c r="C217" s="2">
        <v>250</v>
      </c>
      <c r="D217" s="2">
        <v>187</v>
      </c>
      <c r="E217" s="2">
        <v>110</v>
      </c>
      <c r="F217" s="2">
        <v>90</v>
      </c>
      <c r="G217" s="21">
        <f t="shared" si="35"/>
        <v>4.6749999999999998</v>
      </c>
      <c r="H217" s="20">
        <f t="shared" si="27"/>
        <v>5.1429999999999998</v>
      </c>
      <c r="I217" s="20">
        <f t="shared" si="28"/>
        <v>4.6749999999999998</v>
      </c>
      <c r="J217" s="75">
        <f t="shared" si="29"/>
        <v>3.3410000000000002</v>
      </c>
      <c r="K217" s="767"/>
      <c r="L217" s="20"/>
      <c r="M217" s="20"/>
      <c r="N217" s="20"/>
      <c r="O217" s="20"/>
      <c r="P217" s="20"/>
      <c r="Q217" s="23"/>
      <c r="R217" s="22" t="s">
        <v>16</v>
      </c>
      <c r="S217" s="22" t="s">
        <v>16</v>
      </c>
      <c r="T217" s="20">
        <f t="shared" si="30"/>
        <v>2777.2191127096899</v>
      </c>
      <c r="U217" s="22">
        <v>1</v>
      </c>
      <c r="V217" s="20"/>
    </row>
    <row r="218" spans="1:22" ht="12.75" customHeight="1">
      <c r="A218" s="76" t="s">
        <v>626</v>
      </c>
      <c r="B218" s="2" t="s">
        <v>22</v>
      </c>
      <c r="C218" s="2">
        <v>250</v>
      </c>
      <c r="D218" s="2">
        <v>187</v>
      </c>
      <c r="E218" s="2">
        <v>111</v>
      </c>
      <c r="F218" s="2">
        <v>89</v>
      </c>
      <c r="G218" s="21">
        <f t="shared" si="35"/>
        <v>4.6749999999999998</v>
      </c>
      <c r="H218" s="20">
        <f t="shared" si="27"/>
        <v>5.1890000000000001</v>
      </c>
      <c r="I218" s="20">
        <f t="shared" si="28"/>
        <v>4.6749999999999998</v>
      </c>
      <c r="J218" s="75">
        <f t="shared" si="29"/>
        <v>3.3149999999999999</v>
      </c>
      <c r="K218" s="767"/>
      <c r="L218" s="20"/>
      <c r="M218" s="20"/>
      <c r="N218" s="20"/>
      <c r="O218" s="20"/>
      <c r="P218" s="20"/>
      <c r="Q218" s="23"/>
      <c r="R218" s="22" t="s">
        <v>16</v>
      </c>
      <c r="S218" s="22" t="s">
        <v>16</v>
      </c>
      <c r="T218" s="20">
        <f t="shared" si="30"/>
        <v>2547.9173540315646</v>
      </c>
      <c r="U218" s="22">
        <v>1</v>
      </c>
      <c r="V218" s="20"/>
    </row>
    <row r="219" spans="1:22" ht="12.75" customHeight="1">
      <c r="A219" s="76" t="s">
        <v>627</v>
      </c>
      <c r="B219" s="2" t="s">
        <v>22</v>
      </c>
      <c r="C219" s="2">
        <v>250</v>
      </c>
      <c r="D219" s="2">
        <v>220</v>
      </c>
      <c r="E219" s="2">
        <v>100</v>
      </c>
      <c r="F219" s="2">
        <v>100</v>
      </c>
      <c r="G219" s="21">
        <f t="shared" si="35"/>
        <v>5.5</v>
      </c>
      <c r="H219" s="20">
        <f t="shared" si="27"/>
        <v>5.5</v>
      </c>
      <c r="I219" s="20">
        <f t="shared" si="28"/>
        <v>5.5</v>
      </c>
      <c r="J219" s="75">
        <f t="shared" si="29"/>
        <v>4</v>
      </c>
      <c r="K219" s="767"/>
      <c r="L219" s="20"/>
      <c r="M219" s="20"/>
      <c r="N219" s="20"/>
      <c r="O219" s="20"/>
      <c r="P219" s="20"/>
      <c r="Q219" s="23"/>
      <c r="R219" s="22" t="s">
        <v>16</v>
      </c>
      <c r="S219" s="22" t="s">
        <v>16</v>
      </c>
      <c r="T219" s="20" t="e">
        <f t="shared" si="30"/>
        <v>#DIV/0!</v>
      </c>
      <c r="U219" s="22">
        <v>1</v>
      </c>
      <c r="V219" s="20"/>
    </row>
    <row r="220" spans="1:22" ht="12.75" customHeight="1">
      <c r="A220" s="76" t="s">
        <v>628</v>
      </c>
      <c r="B220" s="2" t="s">
        <v>22</v>
      </c>
      <c r="C220" s="2">
        <v>250</v>
      </c>
      <c r="D220" s="2">
        <v>220</v>
      </c>
      <c r="E220" s="2">
        <v>103</v>
      </c>
      <c r="F220" s="2">
        <v>97</v>
      </c>
      <c r="G220" s="21">
        <f t="shared" si="35"/>
        <v>5.5</v>
      </c>
      <c r="H220" s="20">
        <f t="shared" si="27"/>
        <v>5.665</v>
      </c>
      <c r="I220" s="20">
        <f t="shared" si="28"/>
        <v>5.5</v>
      </c>
      <c r="J220" s="75">
        <f t="shared" si="29"/>
        <v>3.9159999999999999</v>
      </c>
      <c r="K220" s="767"/>
      <c r="L220" s="20"/>
      <c r="M220" s="20"/>
      <c r="N220" s="20"/>
      <c r="O220" s="20"/>
      <c r="P220" s="20"/>
      <c r="Q220" s="23"/>
      <c r="R220" s="22" t="s">
        <v>16</v>
      </c>
      <c r="S220" s="22" t="s">
        <v>16</v>
      </c>
      <c r="T220" s="20">
        <f t="shared" si="30"/>
        <v>8667.290644204284</v>
      </c>
      <c r="U220" s="22">
        <v>1</v>
      </c>
      <c r="V220" s="20"/>
    </row>
    <row r="221" spans="1:22" ht="12.75" customHeight="1">
      <c r="A221" s="76" t="s">
        <v>629</v>
      </c>
      <c r="B221" s="2" t="s">
        <v>22</v>
      </c>
      <c r="C221" s="2">
        <v>250</v>
      </c>
      <c r="D221" s="2">
        <v>220</v>
      </c>
      <c r="E221" s="2">
        <v>104</v>
      </c>
      <c r="F221" s="2">
        <v>96</v>
      </c>
      <c r="G221" s="21">
        <f t="shared" si="35"/>
        <v>5.5</v>
      </c>
      <c r="H221" s="20">
        <f t="shared" si="27"/>
        <v>5.72</v>
      </c>
      <c r="I221" s="20">
        <f t="shared" si="28"/>
        <v>5.5</v>
      </c>
      <c r="J221" s="75">
        <f t="shared" si="29"/>
        <v>3.8879999999999999</v>
      </c>
      <c r="K221" s="767"/>
      <c r="L221" s="20"/>
      <c r="M221" s="20"/>
      <c r="N221" s="20"/>
      <c r="O221" s="20"/>
      <c r="P221" s="20"/>
      <c r="Q221" s="23"/>
      <c r="R221" s="22" t="s">
        <v>16</v>
      </c>
      <c r="S221" s="22" t="s">
        <v>16</v>
      </c>
      <c r="T221" s="20">
        <f t="shared" si="30"/>
        <v>6563.3399462468797</v>
      </c>
      <c r="U221" s="22">
        <v>1</v>
      </c>
      <c r="V221" s="20"/>
    </row>
    <row r="222" spans="1:22" ht="12.75" customHeight="1">
      <c r="A222" s="76" t="s">
        <v>630</v>
      </c>
      <c r="B222" s="2" t="s">
        <v>22</v>
      </c>
      <c r="C222" s="2">
        <v>250</v>
      </c>
      <c r="D222" s="2">
        <v>220</v>
      </c>
      <c r="E222" s="2">
        <v>106</v>
      </c>
      <c r="F222" s="2">
        <v>94</v>
      </c>
      <c r="G222" s="21">
        <f t="shared" si="35"/>
        <v>5.5</v>
      </c>
      <c r="H222" s="20">
        <f t="shared" si="27"/>
        <v>5.83</v>
      </c>
      <c r="I222" s="20">
        <f t="shared" si="28"/>
        <v>5.5</v>
      </c>
      <c r="J222" s="75">
        <f t="shared" si="29"/>
        <v>3.831</v>
      </c>
      <c r="K222" s="767"/>
      <c r="L222" s="20"/>
      <c r="M222" s="20"/>
      <c r="N222" s="20"/>
      <c r="O222" s="20"/>
      <c r="P222" s="20"/>
      <c r="Q222" s="23"/>
      <c r="R222" s="22" t="s">
        <v>16</v>
      </c>
      <c r="S222" s="22" t="s">
        <v>16</v>
      </c>
      <c r="T222" s="20">
        <f t="shared" si="30"/>
        <v>4459.6171484905635</v>
      </c>
      <c r="U222" s="22">
        <v>1</v>
      </c>
      <c r="V222" s="20"/>
    </row>
    <row r="223" spans="1:22" ht="12.75" customHeight="1">
      <c r="A223" s="76" t="s">
        <v>631</v>
      </c>
      <c r="B223" s="2" t="s">
        <v>22</v>
      </c>
      <c r="C223" s="2">
        <v>250</v>
      </c>
      <c r="D223" s="2">
        <v>220</v>
      </c>
      <c r="E223" s="2">
        <v>108</v>
      </c>
      <c r="F223" s="2">
        <v>92</v>
      </c>
      <c r="G223" s="21">
        <f t="shared" si="35"/>
        <v>5.5</v>
      </c>
      <c r="H223" s="20">
        <f t="shared" si="27"/>
        <v>5.94</v>
      </c>
      <c r="I223" s="20">
        <f t="shared" si="28"/>
        <v>5.5</v>
      </c>
      <c r="J223" s="75">
        <f t="shared" si="29"/>
        <v>3.7719999999999998</v>
      </c>
      <c r="K223" s="767"/>
      <c r="L223" s="20"/>
      <c r="M223" s="20"/>
      <c r="N223" s="20"/>
      <c r="O223" s="20"/>
      <c r="P223" s="20"/>
      <c r="Q223" s="23"/>
      <c r="R223" s="22" t="s">
        <v>16</v>
      </c>
      <c r="S223" s="22" t="s">
        <v>16</v>
      </c>
      <c r="T223" s="20">
        <f t="shared" si="30"/>
        <v>3407.9935537644433</v>
      </c>
      <c r="U223" s="22">
        <v>1</v>
      </c>
      <c r="V223" s="20"/>
    </row>
    <row r="224" spans="1:22" ht="12.75" customHeight="1" thickBot="1">
      <c r="A224" s="76" t="s">
        <v>632</v>
      </c>
      <c r="B224" s="2" t="s">
        <v>22</v>
      </c>
      <c r="C224" s="2">
        <v>250</v>
      </c>
      <c r="D224" s="2">
        <v>220</v>
      </c>
      <c r="E224" s="2">
        <v>111</v>
      </c>
      <c r="F224" s="2">
        <v>89</v>
      </c>
      <c r="G224" s="21">
        <f t="shared" si="35"/>
        <v>5.5</v>
      </c>
      <c r="H224" s="20">
        <f t="shared" si="27"/>
        <v>6.1050000000000004</v>
      </c>
      <c r="I224" s="20">
        <f t="shared" si="28"/>
        <v>5.5</v>
      </c>
      <c r="J224" s="75">
        <f t="shared" si="29"/>
        <v>3.6819999999999999</v>
      </c>
      <c r="K224" s="768"/>
      <c r="L224" s="20"/>
      <c r="M224" s="20"/>
      <c r="N224" s="20"/>
      <c r="O224" s="20"/>
      <c r="P224" s="20"/>
      <c r="Q224" s="23"/>
      <c r="R224" s="22" t="s">
        <v>16</v>
      </c>
      <c r="S224" s="22" t="s">
        <v>16</v>
      </c>
      <c r="T224" s="20">
        <f t="shared" si="30"/>
        <v>2547.9173540315646</v>
      </c>
      <c r="U224" s="22">
        <v>1</v>
      </c>
      <c r="V224" s="20"/>
    </row>
    <row r="225" spans="1:22" ht="25.2" thickBot="1">
      <c r="A225" s="354"/>
      <c r="B225" s="72"/>
      <c r="C225" s="72"/>
      <c r="D225" s="72"/>
      <c r="E225" s="72"/>
      <c r="F225" s="72"/>
      <c r="G225" s="102"/>
      <c r="H225" s="72"/>
      <c r="I225" s="72"/>
      <c r="J225" s="72"/>
      <c r="K225" s="74"/>
      <c r="L225" s="20"/>
      <c r="M225" s="20"/>
      <c r="N225" s="20"/>
      <c r="O225" s="20"/>
      <c r="P225" s="20"/>
      <c r="Q225" s="23"/>
      <c r="R225" s="22"/>
      <c r="S225" s="22"/>
      <c r="T225" s="20"/>
      <c r="U225" s="22"/>
      <c r="V225" s="20"/>
    </row>
    <row r="226" spans="1:22">
      <c r="A226" s="76" t="s">
        <v>445</v>
      </c>
      <c r="B226" s="2" t="s">
        <v>2166</v>
      </c>
      <c r="C226" s="2">
        <v>200</v>
      </c>
      <c r="D226" s="2">
        <v>150</v>
      </c>
      <c r="E226" s="2">
        <v>119</v>
      </c>
      <c r="F226" s="2">
        <v>110</v>
      </c>
      <c r="G226" s="21">
        <f t="shared" si="35"/>
        <v>3.4350000000000001</v>
      </c>
      <c r="H226" s="20">
        <f t="shared" ref="H226:H227" si="36">ROUND(C226*D226*E226/10^6,3)</f>
        <v>3.57</v>
      </c>
      <c r="I226" s="20">
        <f t="shared" ref="I226:I228" si="37">IF(F226="","-",ROUND((E226+F226)*C226/2*D226/10^6,3))</f>
        <v>3.4350000000000001</v>
      </c>
      <c r="J226" s="75">
        <f t="shared" ref="J226:J228" si="38">IF(F226="","-",ROUND((D226+E226)*C226/2*F226/10^6,3))</f>
        <v>2.9590000000000001</v>
      </c>
      <c r="K226" s="59"/>
      <c r="L226" s="20"/>
      <c r="M226" s="20"/>
      <c r="N226" s="20"/>
      <c r="O226" s="20"/>
      <c r="P226" s="20"/>
      <c r="Q226" s="21"/>
      <c r="R226" s="22">
        <f t="shared" ref="R226:R261" si="39">D226</f>
        <v>150</v>
      </c>
      <c r="S226" s="20"/>
      <c r="T226" s="20">
        <f t="shared" ref="T226:T261" si="40">(E226+U226)/2/(SIN(RADIANS((ATAN(((E226+U226)-(F226+U226))/2/C226)*180/PI()))))*2</f>
        <v>5334.6831625171944</v>
      </c>
      <c r="U226" s="22">
        <v>1</v>
      </c>
      <c r="V226" s="20"/>
    </row>
    <row r="227" spans="1:22">
      <c r="A227" s="76" t="s">
        <v>446</v>
      </c>
      <c r="B227" s="2" t="s">
        <v>2166</v>
      </c>
      <c r="C227" s="2">
        <v>200</v>
      </c>
      <c r="D227" s="2">
        <v>150</v>
      </c>
      <c r="E227" s="2">
        <v>130</v>
      </c>
      <c r="F227" s="2">
        <v>110</v>
      </c>
      <c r="G227" s="21">
        <f t="shared" si="35"/>
        <v>3.6</v>
      </c>
      <c r="H227" s="20">
        <f t="shared" si="36"/>
        <v>3.9</v>
      </c>
      <c r="I227" s="20">
        <f t="shared" si="37"/>
        <v>3.6</v>
      </c>
      <c r="J227" s="75">
        <f t="shared" si="38"/>
        <v>3.08</v>
      </c>
      <c r="K227" s="59"/>
      <c r="L227" s="20"/>
      <c r="M227" s="20"/>
      <c r="N227" s="20"/>
      <c r="O227" s="20"/>
      <c r="P227" s="20"/>
      <c r="Q227" s="21"/>
      <c r="R227" s="22">
        <f t="shared" si="39"/>
        <v>150</v>
      </c>
      <c r="S227" s="20"/>
      <c r="T227" s="20">
        <f t="shared" si="40"/>
        <v>2623.272955679603</v>
      </c>
      <c r="U227" s="22">
        <v>1</v>
      </c>
      <c r="V227" s="20"/>
    </row>
    <row r="228" spans="1:22">
      <c r="A228" s="76" t="s">
        <v>451</v>
      </c>
      <c r="B228" s="2" t="s">
        <v>2166</v>
      </c>
      <c r="C228" s="2">
        <v>300</v>
      </c>
      <c r="D228" s="2">
        <v>150</v>
      </c>
      <c r="E228" s="2">
        <v>69</v>
      </c>
      <c r="F228" s="2">
        <v>65</v>
      </c>
      <c r="G228" s="21">
        <f t="shared" si="35"/>
        <v>3.0150000000000001</v>
      </c>
      <c r="H228" s="20">
        <f t="shared" ref="H228:H232" si="41">ROUND(C228*D228*E228/10^6,3)</f>
        <v>3.105</v>
      </c>
      <c r="I228" s="20">
        <f t="shared" si="37"/>
        <v>3.0150000000000001</v>
      </c>
      <c r="J228" s="75">
        <f t="shared" si="38"/>
        <v>2.1349999999999998</v>
      </c>
      <c r="K228" s="59"/>
      <c r="L228" s="20"/>
      <c r="M228" s="20"/>
      <c r="N228" s="20"/>
      <c r="O228" s="20"/>
      <c r="P228" s="20"/>
      <c r="Q228" s="21"/>
      <c r="R228" s="22">
        <f t="shared" si="39"/>
        <v>150</v>
      </c>
      <c r="S228" s="20"/>
      <c r="T228" s="20">
        <f t="shared" si="40"/>
        <v>10500.233330740797</v>
      </c>
      <c r="U228" s="22">
        <v>1</v>
      </c>
      <c r="V228" s="20"/>
    </row>
    <row r="229" spans="1:22">
      <c r="A229" s="76" t="s">
        <v>452</v>
      </c>
      <c r="B229" s="2" t="s">
        <v>2166</v>
      </c>
      <c r="C229" s="2">
        <v>300</v>
      </c>
      <c r="D229" s="2">
        <v>150</v>
      </c>
      <c r="E229" s="2">
        <v>71</v>
      </c>
      <c r="F229" s="2">
        <v>65</v>
      </c>
      <c r="G229" s="21">
        <f t="shared" si="35"/>
        <v>3.06</v>
      </c>
      <c r="H229" s="20">
        <f t="shared" si="41"/>
        <v>3.1949999999999998</v>
      </c>
      <c r="I229" s="20">
        <f t="shared" ref="I229:I234" si="42">IF(F229="","-",ROUND((E229+F229)*C229/2*D229/10^6,3))</f>
        <v>3.06</v>
      </c>
      <c r="J229" s="75">
        <f t="shared" ref="J229:J234" si="43">IF(F229="","-",ROUND((D229+E229)*C229/2*F229/10^6,3))</f>
        <v>2.1549999999999998</v>
      </c>
      <c r="K229" s="59"/>
      <c r="L229" s="20"/>
      <c r="M229" s="20"/>
      <c r="N229" s="20"/>
      <c r="O229" s="20"/>
      <c r="P229" s="20"/>
      <c r="Q229" s="21"/>
      <c r="R229" s="22">
        <f t="shared" si="39"/>
        <v>150</v>
      </c>
      <c r="S229" s="20"/>
      <c r="T229" s="20">
        <f t="shared" si="40"/>
        <v>7200.3599910004505</v>
      </c>
      <c r="U229" s="22">
        <v>1</v>
      </c>
      <c r="V229" s="20"/>
    </row>
    <row r="230" spans="1:22">
      <c r="A230" s="76" t="s">
        <v>453</v>
      </c>
      <c r="B230" s="2" t="s">
        <v>2166</v>
      </c>
      <c r="C230" s="2">
        <v>300</v>
      </c>
      <c r="D230" s="2">
        <v>150</v>
      </c>
      <c r="E230" s="2">
        <v>75</v>
      </c>
      <c r="F230" s="2">
        <v>65</v>
      </c>
      <c r="G230" s="21">
        <f t="shared" si="35"/>
        <v>3.15</v>
      </c>
      <c r="H230" s="20">
        <f t="shared" si="41"/>
        <v>3.375</v>
      </c>
      <c r="I230" s="20">
        <f t="shared" si="42"/>
        <v>3.15</v>
      </c>
      <c r="J230" s="75">
        <f t="shared" si="43"/>
        <v>2.194</v>
      </c>
      <c r="K230" s="59"/>
      <c r="L230" s="20"/>
      <c r="M230" s="20"/>
      <c r="N230" s="20"/>
      <c r="O230" s="20"/>
      <c r="P230" s="20"/>
      <c r="Q230" s="21"/>
      <c r="R230" s="22">
        <f t="shared" si="39"/>
        <v>150</v>
      </c>
      <c r="S230" s="20"/>
      <c r="T230" s="20">
        <f t="shared" si="40"/>
        <v>4560.6332893579602</v>
      </c>
      <c r="U230" s="22">
        <v>1</v>
      </c>
      <c r="V230" s="20"/>
    </row>
    <row r="231" spans="1:22">
      <c r="A231" s="76" t="s">
        <v>454</v>
      </c>
      <c r="B231" s="2" t="s">
        <v>2166</v>
      </c>
      <c r="C231" s="2">
        <v>300</v>
      </c>
      <c r="D231" s="2">
        <v>150</v>
      </c>
      <c r="E231" s="2">
        <v>85</v>
      </c>
      <c r="F231" s="2">
        <v>65</v>
      </c>
      <c r="G231" s="21">
        <f t="shared" si="35"/>
        <v>3.375</v>
      </c>
      <c r="H231" s="20">
        <f t="shared" si="41"/>
        <v>3.8250000000000002</v>
      </c>
      <c r="I231" s="20">
        <f t="shared" si="42"/>
        <v>3.375</v>
      </c>
      <c r="J231" s="75">
        <f t="shared" si="43"/>
        <v>2.2909999999999999</v>
      </c>
      <c r="K231" s="59"/>
      <c r="L231" s="20"/>
      <c r="M231" s="20"/>
      <c r="N231" s="20"/>
      <c r="O231" s="20"/>
      <c r="P231" s="20"/>
      <c r="Q231" s="23"/>
      <c r="R231" s="22">
        <f t="shared" si="39"/>
        <v>150</v>
      </c>
      <c r="S231" s="20"/>
      <c r="T231" s="20">
        <f t="shared" si="40"/>
        <v>2581.4329354062252</v>
      </c>
      <c r="U231" s="22">
        <v>1</v>
      </c>
      <c r="V231" s="20"/>
    </row>
    <row r="232" spans="1:22">
      <c r="A232" s="76" t="s">
        <v>455</v>
      </c>
      <c r="B232" s="2" t="s">
        <v>2166</v>
      </c>
      <c r="C232" s="2">
        <v>300</v>
      </c>
      <c r="D232" s="2">
        <v>150</v>
      </c>
      <c r="E232" s="2">
        <v>90</v>
      </c>
      <c r="F232" s="2">
        <v>65</v>
      </c>
      <c r="G232" s="21">
        <f t="shared" si="35"/>
        <v>3.4874999999999998</v>
      </c>
      <c r="H232" s="20">
        <f t="shared" si="41"/>
        <v>4.05</v>
      </c>
      <c r="I232" s="20">
        <f t="shared" si="42"/>
        <v>3.488</v>
      </c>
      <c r="J232" s="75">
        <f t="shared" si="43"/>
        <v>2.34</v>
      </c>
      <c r="K232" s="59"/>
      <c r="L232" s="20"/>
      <c r="M232" s="20"/>
      <c r="N232" s="20"/>
      <c r="O232" s="20"/>
      <c r="P232" s="20"/>
      <c r="Q232" s="23"/>
      <c r="R232" s="22">
        <f t="shared" si="39"/>
        <v>150</v>
      </c>
      <c r="S232" s="20"/>
      <c r="T232" s="20">
        <f t="shared" si="40"/>
        <v>2185.8950112025054</v>
      </c>
      <c r="U232" s="22">
        <v>1</v>
      </c>
      <c r="V232" s="20"/>
    </row>
    <row r="233" spans="1:22">
      <c r="A233" s="2" t="s">
        <v>456</v>
      </c>
      <c r="B233" s="2" t="s">
        <v>2166</v>
      </c>
      <c r="C233" s="2">
        <v>300</v>
      </c>
      <c r="D233" s="2">
        <v>225</v>
      </c>
      <c r="E233" s="2">
        <v>69</v>
      </c>
      <c r="F233" s="2">
        <v>65</v>
      </c>
      <c r="G233" s="21">
        <f t="shared" si="35"/>
        <v>4.5225</v>
      </c>
      <c r="H233" s="20">
        <f t="shared" ref="H233:H238" si="44">ROUND(C233*D233*E233/10^6,3)</f>
        <v>4.6580000000000004</v>
      </c>
      <c r="I233" s="20">
        <f t="shared" si="42"/>
        <v>4.5229999999999997</v>
      </c>
      <c r="J233" s="75">
        <f t="shared" si="43"/>
        <v>2.867</v>
      </c>
      <c r="K233" s="59"/>
      <c r="L233" s="20"/>
      <c r="M233" s="20"/>
      <c r="N233" s="20"/>
      <c r="O233" s="20"/>
      <c r="P233" s="20"/>
      <c r="Q233" s="21"/>
      <c r="R233" s="22">
        <f t="shared" si="39"/>
        <v>225</v>
      </c>
      <c r="S233" s="20"/>
      <c r="T233" s="20">
        <f t="shared" si="40"/>
        <v>10500.233330740797</v>
      </c>
      <c r="U233" s="22">
        <v>1</v>
      </c>
      <c r="V233" s="20"/>
    </row>
    <row r="234" spans="1:22">
      <c r="A234" s="2" t="s">
        <v>457</v>
      </c>
      <c r="B234" s="2" t="s">
        <v>2166</v>
      </c>
      <c r="C234" s="2">
        <v>300</v>
      </c>
      <c r="D234" s="2">
        <v>225</v>
      </c>
      <c r="E234" s="2">
        <v>71</v>
      </c>
      <c r="F234" s="2">
        <v>65</v>
      </c>
      <c r="G234" s="21">
        <f t="shared" si="35"/>
        <v>4.59</v>
      </c>
      <c r="H234" s="20">
        <f t="shared" si="44"/>
        <v>4.7930000000000001</v>
      </c>
      <c r="I234" s="20">
        <f t="shared" si="42"/>
        <v>4.59</v>
      </c>
      <c r="J234" s="75">
        <f t="shared" si="43"/>
        <v>2.8860000000000001</v>
      </c>
      <c r="K234" s="59"/>
      <c r="L234" s="20"/>
      <c r="M234" s="20"/>
      <c r="N234" s="20"/>
      <c r="O234" s="20"/>
      <c r="P234" s="20"/>
      <c r="Q234" s="21"/>
      <c r="R234" s="22">
        <f t="shared" si="39"/>
        <v>225</v>
      </c>
      <c r="S234" s="20"/>
      <c r="T234" s="20">
        <f t="shared" si="40"/>
        <v>7200.3599910004505</v>
      </c>
      <c r="U234" s="22">
        <v>1</v>
      </c>
      <c r="V234" s="20"/>
    </row>
    <row r="235" spans="1:22">
      <c r="A235" s="2" t="s">
        <v>458</v>
      </c>
      <c r="B235" s="2" t="s">
        <v>2166</v>
      </c>
      <c r="C235" s="2">
        <v>300</v>
      </c>
      <c r="D235" s="2">
        <v>225</v>
      </c>
      <c r="E235" s="2">
        <v>75</v>
      </c>
      <c r="F235" s="2">
        <v>65</v>
      </c>
      <c r="G235" s="21">
        <f t="shared" si="35"/>
        <v>4.7249999999999996</v>
      </c>
      <c r="H235" s="20">
        <f t="shared" si="44"/>
        <v>5.0629999999999997</v>
      </c>
      <c r="I235" s="20">
        <f t="shared" ref="I235:I240" si="45">IF(F235="","-",ROUND((E235+F235)*C235/2*D235/10^6,3))</f>
        <v>4.7249999999999996</v>
      </c>
      <c r="J235" s="75">
        <f t="shared" ref="J235:J240" si="46">IF(F235="","-",ROUND((D235+E235)*C235/2*F235/10^6,3))</f>
        <v>2.9249999999999998</v>
      </c>
      <c r="K235" s="59"/>
      <c r="L235" s="20"/>
      <c r="M235" s="20"/>
      <c r="N235" s="20"/>
      <c r="O235" s="20"/>
      <c r="P235" s="20"/>
      <c r="Q235" s="21"/>
      <c r="R235" s="22">
        <f t="shared" si="39"/>
        <v>225</v>
      </c>
      <c r="S235" s="20"/>
      <c r="T235" s="20">
        <f t="shared" si="40"/>
        <v>4560.6332893579602</v>
      </c>
      <c r="U235" s="22">
        <v>1</v>
      </c>
      <c r="V235" s="20"/>
    </row>
    <row r="236" spans="1:22">
      <c r="A236" s="2" t="s">
        <v>459</v>
      </c>
      <c r="B236" s="2" t="s">
        <v>2166</v>
      </c>
      <c r="C236" s="2">
        <v>300</v>
      </c>
      <c r="D236" s="2">
        <v>225</v>
      </c>
      <c r="E236" s="2">
        <v>85</v>
      </c>
      <c r="F236" s="2">
        <v>65</v>
      </c>
      <c r="G236" s="21">
        <f t="shared" si="35"/>
        <v>5.0625</v>
      </c>
      <c r="H236" s="20">
        <f t="shared" si="44"/>
        <v>5.7380000000000004</v>
      </c>
      <c r="I236" s="20">
        <f t="shared" si="45"/>
        <v>5.0629999999999997</v>
      </c>
      <c r="J236" s="75">
        <f t="shared" si="46"/>
        <v>3.0230000000000001</v>
      </c>
      <c r="K236" s="59"/>
      <c r="L236" s="20"/>
      <c r="M236" s="20"/>
      <c r="N236" s="20"/>
      <c r="O236" s="20"/>
      <c r="P236" s="20"/>
      <c r="Q236" s="21"/>
      <c r="R236" s="22">
        <f t="shared" si="39"/>
        <v>225</v>
      </c>
      <c r="S236" s="20"/>
      <c r="T236" s="20">
        <f t="shared" si="40"/>
        <v>2581.4329354062252</v>
      </c>
      <c r="U236" s="22">
        <v>1</v>
      </c>
      <c r="V236" s="20"/>
    </row>
    <row r="237" spans="1:22">
      <c r="A237" s="2" t="s">
        <v>460</v>
      </c>
      <c r="B237" s="2" t="s">
        <v>2166</v>
      </c>
      <c r="C237" s="2">
        <v>300</v>
      </c>
      <c r="D237" s="2">
        <v>225</v>
      </c>
      <c r="E237" s="2">
        <v>90</v>
      </c>
      <c r="F237" s="2">
        <v>65</v>
      </c>
      <c r="G237" s="21">
        <f t="shared" si="35"/>
        <v>5.2312500000000002</v>
      </c>
      <c r="H237" s="20">
        <f t="shared" si="44"/>
        <v>6.0750000000000002</v>
      </c>
      <c r="I237" s="20">
        <f t="shared" si="45"/>
        <v>5.2309999999999999</v>
      </c>
      <c r="J237" s="75">
        <f t="shared" si="46"/>
        <v>3.0710000000000002</v>
      </c>
      <c r="K237" s="59"/>
      <c r="L237" s="20"/>
      <c r="M237" s="20"/>
      <c r="N237" s="20"/>
      <c r="O237" s="20"/>
      <c r="P237" s="20"/>
      <c r="Q237" s="23"/>
      <c r="R237" s="22">
        <f t="shared" si="39"/>
        <v>225</v>
      </c>
      <c r="S237" s="20"/>
      <c r="T237" s="20">
        <f t="shared" si="40"/>
        <v>2185.8950112025054</v>
      </c>
      <c r="U237" s="22">
        <v>1</v>
      </c>
      <c r="V237" s="20"/>
    </row>
    <row r="238" spans="1:22">
      <c r="A238" s="2" t="s">
        <v>461</v>
      </c>
      <c r="B238" s="2" t="s">
        <v>2166</v>
      </c>
      <c r="C238" s="2">
        <v>300</v>
      </c>
      <c r="D238" s="2">
        <v>300</v>
      </c>
      <c r="E238" s="2">
        <v>69</v>
      </c>
      <c r="F238" s="2">
        <v>65</v>
      </c>
      <c r="G238" s="21">
        <f t="shared" si="35"/>
        <v>6.03</v>
      </c>
      <c r="H238" s="20">
        <f t="shared" si="44"/>
        <v>6.21</v>
      </c>
      <c r="I238" s="20">
        <f t="shared" si="45"/>
        <v>6.03</v>
      </c>
      <c r="J238" s="75">
        <f t="shared" si="46"/>
        <v>3.5979999999999999</v>
      </c>
      <c r="K238" s="59"/>
      <c r="L238" s="20"/>
      <c r="M238" s="20"/>
      <c r="N238" s="20"/>
      <c r="O238" s="20"/>
      <c r="P238" s="20"/>
      <c r="Q238" s="23"/>
      <c r="R238" s="22">
        <f t="shared" si="39"/>
        <v>300</v>
      </c>
      <c r="S238" s="20"/>
      <c r="T238" s="20">
        <f t="shared" si="40"/>
        <v>10500.233330740797</v>
      </c>
      <c r="U238" s="22">
        <v>1</v>
      </c>
      <c r="V238" s="20"/>
    </row>
    <row r="239" spans="1:22">
      <c r="A239" s="2" t="s">
        <v>462</v>
      </c>
      <c r="B239" s="2" t="s">
        <v>2166</v>
      </c>
      <c r="C239" s="2">
        <v>300</v>
      </c>
      <c r="D239" s="2">
        <v>300</v>
      </c>
      <c r="E239" s="2">
        <v>71</v>
      </c>
      <c r="F239" s="2">
        <v>65</v>
      </c>
      <c r="G239" s="21">
        <f t="shared" si="35"/>
        <v>6.12</v>
      </c>
      <c r="H239" s="20">
        <f t="shared" ref="H239:H244" si="47">ROUND(C239*D239*E239/10^6,3)</f>
        <v>6.39</v>
      </c>
      <c r="I239" s="20">
        <f t="shared" si="45"/>
        <v>6.12</v>
      </c>
      <c r="J239" s="75">
        <f t="shared" si="46"/>
        <v>3.617</v>
      </c>
      <c r="K239" s="59"/>
      <c r="L239" s="20"/>
      <c r="M239" s="20"/>
      <c r="N239" s="20"/>
      <c r="O239" s="20"/>
      <c r="P239" s="20"/>
      <c r="Q239" s="21"/>
      <c r="R239" s="22">
        <f t="shared" si="39"/>
        <v>300</v>
      </c>
      <c r="S239" s="20"/>
      <c r="T239" s="20">
        <f t="shared" si="40"/>
        <v>7200.3599910004505</v>
      </c>
      <c r="U239" s="22">
        <v>1</v>
      </c>
      <c r="V239" s="20"/>
    </row>
    <row r="240" spans="1:22">
      <c r="A240" s="2" t="s">
        <v>463</v>
      </c>
      <c r="B240" s="2" t="s">
        <v>2166</v>
      </c>
      <c r="C240" s="2">
        <v>300</v>
      </c>
      <c r="D240" s="2">
        <v>300</v>
      </c>
      <c r="E240" s="2">
        <v>75</v>
      </c>
      <c r="F240" s="2">
        <v>65</v>
      </c>
      <c r="G240" s="21">
        <f t="shared" si="35"/>
        <v>6.3</v>
      </c>
      <c r="H240" s="20">
        <f t="shared" si="47"/>
        <v>6.75</v>
      </c>
      <c r="I240" s="20">
        <f t="shared" si="45"/>
        <v>6.3</v>
      </c>
      <c r="J240" s="75">
        <f t="shared" si="46"/>
        <v>3.6560000000000001</v>
      </c>
      <c r="K240" s="59"/>
      <c r="L240" s="20"/>
      <c r="M240" s="20"/>
      <c r="N240" s="20"/>
      <c r="O240" s="20"/>
      <c r="P240" s="20"/>
      <c r="Q240" s="21"/>
      <c r="R240" s="22">
        <f t="shared" si="39"/>
        <v>300</v>
      </c>
      <c r="S240" s="20"/>
      <c r="T240" s="20">
        <f t="shared" si="40"/>
        <v>4560.6332893579602</v>
      </c>
      <c r="U240" s="22">
        <v>1</v>
      </c>
      <c r="V240" s="20"/>
    </row>
    <row r="241" spans="1:22">
      <c r="A241" s="2" t="s">
        <v>464</v>
      </c>
      <c r="B241" s="2" t="s">
        <v>2166</v>
      </c>
      <c r="C241" s="2">
        <v>300</v>
      </c>
      <c r="D241" s="2">
        <v>300</v>
      </c>
      <c r="E241" s="2">
        <v>90</v>
      </c>
      <c r="F241" s="2">
        <v>65</v>
      </c>
      <c r="G241" s="21">
        <f t="shared" si="35"/>
        <v>6.9749999999999996</v>
      </c>
      <c r="H241" s="20">
        <f t="shared" si="47"/>
        <v>8.1</v>
      </c>
      <c r="I241" s="20">
        <f t="shared" ref="I241:I246" si="48">IF(F241="","-",ROUND((E241+F241)*C241/2*D241/10^6,3))</f>
        <v>6.9749999999999996</v>
      </c>
      <c r="J241" s="75">
        <f t="shared" ref="J241:J246" si="49">IF(F241="","-",ROUND((D241+E241)*C241/2*F241/10^6,3))</f>
        <v>3.8029999999999999</v>
      </c>
      <c r="K241" s="59"/>
      <c r="L241" s="20"/>
      <c r="M241" s="20"/>
      <c r="N241" s="20"/>
      <c r="O241" s="20"/>
      <c r="P241" s="20"/>
      <c r="Q241" s="21"/>
      <c r="R241" s="22">
        <f t="shared" si="39"/>
        <v>300</v>
      </c>
      <c r="S241" s="20"/>
      <c r="T241" s="20">
        <f t="shared" si="40"/>
        <v>2185.8950112025054</v>
      </c>
      <c r="U241" s="22">
        <v>1</v>
      </c>
      <c r="V241" s="20"/>
    </row>
    <row r="242" spans="1:22">
      <c r="A242" s="2" t="s">
        <v>465</v>
      </c>
      <c r="B242" s="2" t="s">
        <v>2166</v>
      </c>
      <c r="C242" s="2">
        <v>375</v>
      </c>
      <c r="D242" s="2">
        <v>150</v>
      </c>
      <c r="E242" s="2">
        <v>66</v>
      </c>
      <c r="F242" s="2">
        <v>50</v>
      </c>
      <c r="G242" s="21">
        <f t="shared" si="35"/>
        <v>3.2625000000000002</v>
      </c>
      <c r="H242" s="20">
        <f t="shared" si="47"/>
        <v>3.7130000000000001</v>
      </c>
      <c r="I242" s="20">
        <f t="shared" si="48"/>
        <v>3.2629999999999999</v>
      </c>
      <c r="J242" s="75">
        <f t="shared" si="49"/>
        <v>2.0249999999999999</v>
      </c>
      <c r="K242" s="59"/>
      <c r="L242" s="20"/>
      <c r="M242" s="20"/>
      <c r="N242" s="20"/>
      <c r="O242" s="20"/>
      <c r="P242" s="20"/>
      <c r="Q242" s="21"/>
      <c r="R242" s="22">
        <f t="shared" si="39"/>
        <v>150</v>
      </c>
      <c r="S242" s="20"/>
      <c r="T242" s="20">
        <f t="shared" si="40"/>
        <v>3141.3395853719794</v>
      </c>
      <c r="U242" s="22">
        <v>1</v>
      </c>
      <c r="V242" s="20"/>
    </row>
    <row r="243" spans="1:22">
      <c r="A243" s="2" t="s">
        <v>466</v>
      </c>
      <c r="B243" s="2" t="s">
        <v>2166</v>
      </c>
      <c r="C243" s="2">
        <v>375</v>
      </c>
      <c r="D243" s="2">
        <v>150</v>
      </c>
      <c r="E243" s="2">
        <v>70</v>
      </c>
      <c r="F243" s="2">
        <v>65</v>
      </c>
      <c r="G243" s="21">
        <f t="shared" si="35"/>
        <v>3.796875</v>
      </c>
      <c r="H243" s="20">
        <f t="shared" si="47"/>
        <v>3.9380000000000002</v>
      </c>
      <c r="I243" s="20">
        <f t="shared" si="48"/>
        <v>3.7970000000000002</v>
      </c>
      <c r="J243" s="75">
        <f t="shared" si="49"/>
        <v>2.681</v>
      </c>
      <c r="K243" s="59"/>
      <c r="L243" s="20"/>
      <c r="M243" s="20"/>
      <c r="N243" s="20"/>
      <c r="O243" s="20"/>
      <c r="P243" s="20"/>
      <c r="Q243" s="23"/>
      <c r="R243" s="22">
        <f t="shared" si="39"/>
        <v>150</v>
      </c>
      <c r="S243" s="20"/>
      <c r="T243" s="20">
        <f t="shared" si="40"/>
        <v>10650.236664037093</v>
      </c>
      <c r="U243" s="22">
        <v>1</v>
      </c>
      <c r="V243" s="20"/>
    </row>
    <row r="244" spans="1:22">
      <c r="A244" s="2" t="s">
        <v>467</v>
      </c>
      <c r="B244" s="2" t="s">
        <v>2166</v>
      </c>
      <c r="C244" s="2">
        <v>375</v>
      </c>
      <c r="D244" s="2">
        <v>150</v>
      </c>
      <c r="E244" s="2">
        <v>73</v>
      </c>
      <c r="F244" s="2">
        <v>65</v>
      </c>
      <c r="G244" s="21">
        <f t="shared" si="35"/>
        <v>3.8812500000000001</v>
      </c>
      <c r="H244" s="20">
        <f t="shared" si="47"/>
        <v>4.1059999999999999</v>
      </c>
      <c r="I244" s="20">
        <f t="shared" si="48"/>
        <v>3.8809999999999998</v>
      </c>
      <c r="J244" s="75">
        <f t="shared" si="49"/>
        <v>2.718</v>
      </c>
      <c r="K244" s="59"/>
      <c r="L244" s="20"/>
      <c r="M244" s="20"/>
      <c r="N244" s="20"/>
      <c r="O244" s="20"/>
      <c r="P244" s="20"/>
      <c r="Q244" s="23"/>
      <c r="R244" s="22">
        <f t="shared" si="39"/>
        <v>150</v>
      </c>
      <c r="S244" s="20"/>
      <c r="T244" s="20">
        <f t="shared" si="40"/>
        <v>6937.8946554412332</v>
      </c>
      <c r="U244" s="22">
        <v>1</v>
      </c>
      <c r="V244" s="20"/>
    </row>
    <row r="245" spans="1:22">
      <c r="A245" s="2" t="s">
        <v>468</v>
      </c>
      <c r="B245" s="2" t="s">
        <v>2166</v>
      </c>
      <c r="C245" s="2">
        <v>375</v>
      </c>
      <c r="D245" s="2">
        <v>150</v>
      </c>
      <c r="E245" s="2">
        <v>78</v>
      </c>
      <c r="F245" s="2">
        <v>65</v>
      </c>
      <c r="G245" s="21">
        <f t="shared" si="35"/>
        <v>4.0218749999999996</v>
      </c>
      <c r="H245" s="20">
        <f t="shared" ref="H245:H261" si="50">ROUND(C245*D245*E245/10^6,3)</f>
        <v>4.3879999999999999</v>
      </c>
      <c r="I245" s="20">
        <f t="shared" si="48"/>
        <v>4.0220000000000002</v>
      </c>
      <c r="J245" s="75">
        <f t="shared" si="49"/>
        <v>2.7789999999999999</v>
      </c>
      <c r="K245" s="59"/>
      <c r="L245" s="20"/>
      <c r="M245" s="20"/>
      <c r="N245" s="20"/>
      <c r="O245" s="20"/>
      <c r="P245" s="20"/>
      <c r="Q245" s="21"/>
      <c r="R245" s="22">
        <f t="shared" si="39"/>
        <v>150</v>
      </c>
      <c r="S245" s="20"/>
      <c r="T245" s="20">
        <f t="shared" si="40"/>
        <v>4558.3769229406253</v>
      </c>
      <c r="U245" s="22">
        <v>1</v>
      </c>
      <c r="V245" s="20"/>
    </row>
    <row r="246" spans="1:22">
      <c r="A246" s="2" t="s">
        <v>469</v>
      </c>
      <c r="B246" s="2" t="s">
        <v>2166</v>
      </c>
      <c r="C246" s="2">
        <v>375</v>
      </c>
      <c r="D246" s="2">
        <v>150</v>
      </c>
      <c r="E246" s="2">
        <v>90</v>
      </c>
      <c r="F246" s="2">
        <v>65</v>
      </c>
      <c r="G246" s="21">
        <f t="shared" si="35"/>
        <v>4.359375</v>
      </c>
      <c r="H246" s="20">
        <f t="shared" si="50"/>
        <v>5.0629999999999997</v>
      </c>
      <c r="I246" s="20">
        <f t="shared" si="48"/>
        <v>4.359</v>
      </c>
      <c r="J246" s="75">
        <f t="shared" si="49"/>
        <v>2.9249999999999998</v>
      </c>
      <c r="K246" s="59"/>
      <c r="L246" s="20"/>
      <c r="M246" s="20"/>
      <c r="N246" s="20"/>
      <c r="O246" s="20"/>
      <c r="P246" s="20"/>
      <c r="Q246" s="21"/>
      <c r="R246" s="22">
        <f t="shared" si="39"/>
        <v>150</v>
      </c>
      <c r="S246" s="22"/>
      <c r="T246" s="20">
        <f t="shared" si="40"/>
        <v>2731.5162456042617</v>
      </c>
      <c r="U246" s="22">
        <v>1</v>
      </c>
      <c r="V246" s="20"/>
    </row>
    <row r="247" spans="1:22">
      <c r="A247" s="2" t="s">
        <v>470</v>
      </c>
      <c r="B247" s="2" t="s">
        <v>2166</v>
      </c>
      <c r="C247" s="2">
        <v>375</v>
      </c>
      <c r="D247" s="2">
        <v>150</v>
      </c>
      <c r="E247" s="2">
        <v>96</v>
      </c>
      <c r="F247" s="2">
        <v>65</v>
      </c>
      <c r="G247" s="21">
        <f t="shared" si="35"/>
        <v>4.5281250000000002</v>
      </c>
      <c r="H247" s="20">
        <f t="shared" si="50"/>
        <v>5.4</v>
      </c>
      <c r="I247" s="20">
        <f t="shared" ref="I247:I261" si="51">IF(F247="","-",ROUND((E247+F247)*C247/2*D247/10^6,3))</f>
        <v>4.5279999999999996</v>
      </c>
      <c r="J247" s="75">
        <f t="shared" ref="J247:J261" si="52">IF(F247="","-",ROUND((D247+E247)*C247/2*F247/10^6,3))</f>
        <v>2.9980000000000002</v>
      </c>
      <c r="K247" s="59"/>
      <c r="L247" s="20"/>
      <c r="M247" s="20"/>
      <c r="N247" s="20"/>
      <c r="O247" s="20"/>
      <c r="P247" s="20"/>
      <c r="Q247" s="21"/>
      <c r="R247" s="22">
        <f t="shared" si="39"/>
        <v>150</v>
      </c>
      <c r="S247" s="22"/>
      <c r="T247" s="20">
        <f t="shared" si="40"/>
        <v>2348.7780047302645</v>
      </c>
      <c r="U247" s="22">
        <v>1</v>
      </c>
      <c r="V247" s="20"/>
    </row>
    <row r="248" spans="1:22">
      <c r="A248" s="2" t="s">
        <v>471</v>
      </c>
      <c r="B248" s="2" t="s">
        <v>2166</v>
      </c>
      <c r="C248" s="2">
        <v>375</v>
      </c>
      <c r="D248" s="2">
        <v>225</v>
      </c>
      <c r="E248" s="2">
        <v>70</v>
      </c>
      <c r="F248" s="2">
        <v>65</v>
      </c>
      <c r="G248" s="21">
        <f t="shared" si="35"/>
        <v>5.6953125</v>
      </c>
      <c r="H248" s="20">
        <f t="shared" si="50"/>
        <v>5.9059999999999997</v>
      </c>
      <c r="I248" s="20">
        <f t="shared" si="51"/>
        <v>5.6950000000000003</v>
      </c>
      <c r="J248" s="75">
        <f t="shared" si="52"/>
        <v>3.5950000000000002</v>
      </c>
      <c r="K248" s="59"/>
      <c r="L248" s="20"/>
      <c r="M248" s="20"/>
      <c r="N248" s="20"/>
      <c r="O248" s="20"/>
      <c r="P248" s="20"/>
      <c r="Q248" s="21"/>
      <c r="R248" s="22">
        <f t="shared" si="39"/>
        <v>225</v>
      </c>
      <c r="S248" s="22"/>
      <c r="T248" s="20">
        <f t="shared" si="40"/>
        <v>10650.236664037093</v>
      </c>
      <c r="U248" s="22">
        <v>1</v>
      </c>
      <c r="V248" s="20"/>
    </row>
    <row r="249" spans="1:22">
      <c r="A249" s="2" t="s">
        <v>472</v>
      </c>
      <c r="B249" s="2" t="s">
        <v>2166</v>
      </c>
      <c r="C249" s="2">
        <v>375</v>
      </c>
      <c r="D249" s="2">
        <v>225</v>
      </c>
      <c r="E249" s="2">
        <v>73</v>
      </c>
      <c r="F249" s="2">
        <v>65</v>
      </c>
      <c r="G249" s="21">
        <f t="shared" si="35"/>
        <v>5.8218750000000004</v>
      </c>
      <c r="H249" s="20">
        <f t="shared" si="50"/>
        <v>6.1589999999999998</v>
      </c>
      <c r="I249" s="20">
        <f t="shared" si="51"/>
        <v>5.8220000000000001</v>
      </c>
      <c r="J249" s="75">
        <f t="shared" si="52"/>
        <v>3.6320000000000001</v>
      </c>
      <c r="K249" s="59"/>
      <c r="L249" s="20"/>
      <c r="M249" s="20"/>
      <c r="N249" s="20"/>
      <c r="O249" s="20"/>
      <c r="P249" s="20"/>
      <c r="Q249" s="21"/>
      <c r="R249" s="22">
        <f t="shared" si="39"/>
        <v>225</v>
      </c>
      <c r="S249" s="22"/>
      <c r="T249" s="20">
        <f t="shared" si="40"/>
        <v>6937.8946554412332</v>
      </c>
      <c r="U249" s="22">
        <v>1</v>
      </c>
      <c r="V249" s="20"/>
    </row>
    <row r="250" spans="1:22">
      <c r="A250" s="2" t="s">
        <v>473</v>
      </c>
      <c r="B250" s="2" t="s">
        <v>2166</v>
      </c>
      <c r="C250" s="2">
        <v>375</v>
      </c>
      <c r="D250" s="2">
        <v>225</v>
      </c>
      <c r="E250" s="2">
        <v>78</v>
      </c>
      <c r="F250" s="2">
        <v>65</v>
      </c>
      <c r="G250" s="21">
        <f t="shared" si="35"/>
        <v>6.0328125000000004</v>
      </c>
      <c r="H250" s="20">
        <f t="shared" si="50"/>
        <v>6.5810000000000004</v>
      </c>
      <c r="I250" s="20">
        <f t="shared" si="51"/>
        <v>6.0330000000000004</v>
      </c>
      <c r="J250" s="75">
        <f t="shared" si="52"/>
        <v>3.6930000000000001</v>
      </c>
      <c r="K250" s="59"/>
      <c r="L250" s="20"/>
      <c r="M250" s="20"/>
      <c r="N250" s="20"/>
      <c r="O250" s="20"/>
      <c r="P250" s="20"/>
      <c r="Q250" s="21"/>
      <c r="R250" s="22">
        <f t="shared" si="39"/>
        <v>225</v>
      </c>
      <c r="S250" s="22"/>
      <c r="T250" s="20">
        <f t="shared" si="40"/>
        <v>4558.3769229406253</v>
      </c>
      <c r="U250" s="22">
        <v>1</v>
      </c>
      <c r="V250" s="20"/>
    </row>
    <row r="251" spans="1:22">
      <c r="A251" s="2" t="s">
        <v>474</v>
      </c>
      <c r="B251" s="2" t="s">
        <v>2166</v>
      </c>
      <c r="C251" s="2">
        <v>375</v>
      </c>
      <c r="D251" s="2">
        <v>225</v>
      </c>
      <c r="E251" s="2">
        <v>90</v>
      </c>
      <c r="F251" s="2">
        <v>65</v>
      </c>
      <c r="G251" s="21">
        <f t="shared" si="35"/>
        <v>6.5390625</v>
      </c>
      <c r="H251" s="20">
        <f t="shared" si="50"/>
        <v>7.5940000000000003</v>
      </c>
      <c r="I251" s="20">
        <f t="shared" si="51"/>
        <v>6.5389999999999997</v>
      </c>
      <c r="J251" s="75">
        <f t="shared" si="52"/>
        <v>3.839</v>
      </c>
      <c r="K251" s="59"/>
      <c r="L251" s="20"/>
      <c r="M251" s="20"/>
      <c r="N251" s="20"/>
      <c r="O251" s="20"/>
      <c r="P251" s="20"/>
      <c r="Q251" s="21"/>
      <c r="R251" s="22">
        <f t="shared" si="39"/>
        <v>225</v>
      </c>
      <c r="S251" s="22"/>
      <c r="T251" s="20">
        <f t="shared" si="40"/>
        <v>2731.5162456042617</v>
      </c>
      <c r="U251" s="22">
        <v>1</v>
      </c>
      <c r="V251" s="20"/>
    </row>
    <row r="252" spans="1:22">
      <c r="A252" s="2" t="s">
        <v>475</v>
      </c>
      <c r="B252" s="2" t="s">
        <v>2166</v>
      </c>
      <c r="C252" s="2">
        <v>375</v>
      </c>
      <c r="D252" s="2">
        <v>225</v>
      </c>
      <c r="E252" s="2">
        <v>96</v>
      </c>
      <c r="F252" s="2">
        <v>65</v>
      </c>
      <c r="G252" s="21">
        <f t="shared" si="35"/>
        <v>6.7921874999999998</v>
      </c>
      <c r="H252" s="20">
        <f t="shared" si="50"/>
        <v>8.1</v>
      </c>
      <c r="I252" s="20">
        <f t="shared" si="51"/>
        <v>6.7919999999999998</v>
      </c>
      <c r="J252" s="75">
        <f t="shared" si="52"/>
        <v>3.9119999999999999</v>
      </c>
      <c r="K252" s="59"/>
      <c r="L252" s="20"/>
      <c r="M252" s="20"/>
      <c r="N252" s="20"/>
      <c r="O252" s="20"/>
      <c r="P252" s="20"/>
      <c r="Q252" s="23"/>
      <c r="R252" s="22">
        <f t="shared" si="39"/>
        <v>225</v>
      </c>
      <c r="S252" s="22"/>
      <c r="T252" s="20">
        <f t="shared" si="40"/>
        <v>2348.7780047302645</v>
      </c>
      <c r="U252" s="22">
        <v>1</v>
      </c>
      <c r="V252" s="20"/>
    </row>
    <row r="253" spans="1:22">
      <c r="A253" s="2" t="s">
        <v>476</v>
      </c>
      <c r="B253" s="2" t="s">
        <v>2166</v>
      </c>
      <c r="C253" s="2">
        <v>375</v>
      </c>
      <c r="D253" s="2">
        <v>300</v>
      </c>
      <c r="E253" s="2">
        <v>70</v>
      </c>
      <c r="F253" s="2">
        <v>65</v>
      </c>
      <c r="G253" s="21">
        <f t="shared" si="35"/>
        <v>7.59375</v>
      </c>
      <c r="H253" s="20">
        <f t="shared" si="50"/>
        <v>7.875</v>
      </c>
      <c r="I253" s="20">
        <f t="shared" si="51"/>
        <v>7.5940000000000003</v>
      </c>
      <c r="J253" s="75">
        <f t="shared" si="52"/>
        <v>4.5090000000000003</v>
      </c>
      <c r="K253" s="59"/>
      <c r="L253" s="20"/>
      <c r="M253" s="20"/>
      <c r="N253" s="20"/>
      <c r="O253" s="20"/>
      <c r="P253" s="20"/>
      <c r="Q253" s="23"/>
      <c r="R253" s="22">
        <f t="shared" si="39"/>
        <v>300</v>
      </c>
      <c r="S253" s="22"/>
      <c r="T253" s="20">
        <f t="shared" si="40"/>
        <v>10650.236664037093</v>
      </c>
      <c r="U253" s="22">
        <v>1</v>
      </c>
      <c r="V253" s="20"/>
    </row>
    <row r="254" spans="1:22">
      <c r="A254" s="2" t="s">
        <v>477</v>
      </c>
      <c r="B254" s="2" t="s">
        <v>2166</v>
      </c>
      <c r="C254" s="2">
        <v>375</v>
      </c>
      <c r="D254" s="2">
        <v>300</v>
      </c>
      <c r="E254" s="2">
        <v>73</v>
      </c>
      <c r="F254" s="2">
        <v>65</v>
      </c>
      <c r="G254" s="21">
        <f t="shared" si="35"/>
        <v>7.7625000000000002</v>
      </c>
      <c r="H254" s="20">
        <f t="shared" si="50"/>
        <v>8.2129999999999992</v>
      </c>
      <c r="I254" s="20">
        <f t="shared" si="51"/>
        <v>7.7629999999999999</v>
      </c>
      <c r="J254" s="75">
        <f t="shared" si="52"/>
        <v>4.5460000000000003</v>
      </c>
      <c r="K254" s="59"/>
      <c r="L254" s="20"/>
      <c r="M254" s="20"/>
      <c r="N254" s="20"/>
      <c r="O254" s="20"/>
      <c r="P254" s="20"/>
      <c r="Q254" s="21"/>
      <c r="R254" s="22">
        <f t="shared" si="39"/>
        <v>300</v>
      </c>
      <c r="S254" s="22"/>
      <c r="T254" s="20">
        <f t="shared" si="40"/>
        <v>6937.8946554412332</v>
      </c>
      <c r="U254" s="22">
        <v>1</v>
      </c>
      <c r="V254" s="20"/>
    </row>
    <row r="255" spans="1:22">
      <c r="A255" s="2" t="s">
        <v>478</v>
      </c>
      <c r="B255" s="2" t="s">
        <v>2166</v>
      </c>
      <c r="C255" s="2">
        <v>375</v>
      </c>
      <c r="D255" s="2">
        <v>300</v>
      </c>
      <c r="E255" s="2">
        <v>78</v>
      </c>
      <c r="F255" s="2">
        <v>65</v>
      </c>
      <c r="G255" s="21">
        <f t="shared" si="35"/>
        <v>8.0437499999999993</v>
      </c>
      <c r="H255" s="20">
        <f t="shared" si="50"/>
        <v>8.7750000000000004</v>
      </c>
      <c r="I255" s="20">
        <f t="shared" si="51"/>
        <v>8.0440000000000005</v>
      </c>
      <c r="J255" s="75">
        <f t="shared" si="52"/>
        <v>4.6070000000000002</v>
      </c>
      <c r="K255" s="59"/>
      <c r="L255" s="20"/>
      <c r="M255" s="20"/>
      <c r="N255" s="20"/>
      <c r="O255" s="20"/>
      <c r="P255" s="20"/>
      <c r="Q255" s="21"/>
      <c r="R255" s="22">
        <f t="shared" si="39"/>
        <v>300</v>
      </c>
      <c r="S255" s="22"/>
      <c r="T255" s="20">
        <f t="shared" si="40"/>
        <v>4558.3769229406253</v>
      </c>
      <c r="U255" s="22">
        <v>1</v>
      </c>
      <c r="V255" s="20"/>
    </row>
    <row r="256" spans="1:22">
      <c r="A256" s="2" t="s">
        <v>479</v>
      </c>
      <c r="B256" s="2" t="s">
        <v>2166</v>
      </c>
      <c r="C256" s="2">
        <v>375</v>
      </c>
      <c r="D256" s="2">
        <v>300</v>
      </c>
      <c r="E256" s="2">
        <v>96</v>
      </c>
      <c r="F256" s="2">
        <v>65</v>
      </c>
      <c r="G256" s="21">
        <f t="shared" si="35"/>
        <v>9.0562500000000004</v>
      </c>
      <c r="H256" s="20">
        <f t="shared" si="50"/>
        <v>10.8</v>
      </c>
      <c r="I256" s="20">
        <f t="shared" si="51"/>
        <v>9.0559999999999992</v>
      </c>
      <c r="J256" s="75">
        <f t="shared" si="52"/>
        <v>4.8259999999999996</v>
      </c>
      <c r="K256" s="59"/>
      <c r="L256" s="20"/>
      <c r="M256" s="20"/>
      <c r="N256" s="20"/>
      <c r="O256" s="20"/>
      <c r="P256" s="20"/>
      <c r="Q256" s="21"/>
      <c r="R256" s="22">
        <f t="shared" si="39"/>
        <v>300</v>
      </c>
      <c r="S256" s="22"/>
      <c r="T256" s="20">
        <f t="shared" si="40"/>
        <v>2348.7780047302645</v>
      </c>
      <c r="U256" s="22">
        <v>1</v>
      </c>
      <c r="V256" s="20"/>
    </row>
    <row r="257" spans="1:22">
      <c r="A257" s="2" t="s">
        <v>480</v>
      </c>
      <c r="B257" s="2" t="s">
        <v>2166</v>
      </c>
      <c r="C257" s="2">
        <v>375</v>
      </c>
      <c r="D257" s="2">
        <v>375</v>
      </c>
      <c r="E257" s="2">
        <v>94</v>
      </c>
      <c r="F257" s="2">
        <v>76</v>
      </c>
      <c r="G257" s="21">
        <f t="shared" si="35"/>
        <v>11.953125</v>
      </c>
      <c r="H257" s="20">
        <f t="shared" si="50"/>
        <v>13.218999999999999</v>
      </c>
      <c r="I257" s="20">
        <f t="shared" si="51"/>
        <v>11.952999999999999</v>
      </c>
      <c r="J257" s="75">
        <f t="shared" si="52"/>
        <v>6.6829999999999998</v>
      </c>
      <c r="K257" s="59"/>
      <c r="L257" s="20"/>
      <c r="M257" s="20"/>
      <c r="N257" s="20"/>
      <c r="O257" s="20"/>
      <c r="P257" s="20"/>
      <c r="Q257" s="21"/>
      <c r="R257" s="22">
        <f t="shared" si="39"/>
        <v>375</v>
      </c>
      <c r="S257" s="22"/>
      <c r="T257" s="20">
        <f t="shared" si="40"/>
        <v>3959.4731692205942</v>
      </c>
      <c r="U257" s="22">
        <v>1</v>
      </c>
      <c r="V257" s="20"/>
    </row>
    <row r="258" spans="1:22">
      <c r="A258" s="2" t="s">
        <v>481</v>
      </c>
      <c r="B258" s="2" t="s">
        <v>2166</v>
      </c>
      <c r="C258" s="2">
        <v>450</v>
      </c>
      <c r="D258" s="2">
        <v>150</v>
      </c>
      <c r="E258" s="2">
        <v>75</v>
      </c>
      <c r="F258" s="2">
        <v>65</v>
      </c>
      <c r="G258" s="21">
        <f t="shared" si="35"/>
        <v>4.7249999999999996</v>
      </c>
      <c r="H258" s="20">
        <f t="shared" si="50"/>
        <v>5.0629999999999997</v>
      </c>
      <c r="I258" s="20">
        <f t="shared" si="51"/>
        <v>4.7249999999999996</v>
      </c>
      <c r="J258" s="75">
        <f t="shared" si="52"/>
        <v>3.2909999999999999</v>
      </c>
      <c r="K258" s="59"/>
      <c r="L258" s="20"/>
      <c r="M258" s="20"/>
      <c r="N258" s="20"/>
      <c r="O258" s="20"/>
      <c r="P258" s="20"/>
      <c r="Q258" s="23"/>
      <c r="R258" s="22">
        <f t="shared" si="39"/>
        <v>150</v>
      </c>
      <c r="S258" s="22"/>
      <c r="T258" s="20">
        <f t="shared" si="40"/>
        <v>6840.422209191478</v>
      </c>
      <c r="U258" s="22">
        <v>1</v>
      </c>
      <c r="V258" s="20"/>
    </row>
    <row r="259" spans="1:22">
      <c r="A259" s="2" t="s">
        <v>482</v>
      </c>
      <c r="B259" s="2" t="s">
        <v>2166</v>
      </c>
      <c r="C259" s="2">
        <v>450</v>
      </c>
      <c r="D259" s="2">
        <v>150</v>
      </c>
      <c r="E259" s="2">
        <v>80</v>
      </c>
      <c r="F259" s="2">
        <v>65</v>
      </c>
      <c r="G259" s="21">
        <f t="shared" si="35"/>
        <v>4.8937499999999998</v>
      </c>
      <c r="H259" s="20">
        <f t="shared" si="50"/>
        <v>5.4</v>
      </c>
      <c r="I259" s="20">
        <f t="shared" si="51"/>
        <v>4.8940000000000001</v>
      </c>
      <c r="J259" s="75">
        <f t="shared" si="52"/>
        <v>3.3639999999999999</v>
      </c>
      <c r="K259" s="59"/>
      <c r="L259" s="20"/>
      <c r="M259" s="20"/>
      <c r="N259" s="20"/>
      <c r="O259" s="20"/>
      <c r="P259" s="20"/>
      <c r="Q259" s="23"/>
      <c r="R259" s="22">
        <f t="shared" si="39"/>
        <v>150</v>
      </c>
      <c r="S259" s="22"/>
      <c r="T259" s="20">
        <f t="shared" si="40"/>
        <v>4860.6749531315099</v>
      </c>
      <c r="U259" s="22">
        <v>1</v>
      </c>
      <c r="V259" s="20"/>
    </row>
    <row r="260" spans="1:22">
      <c r="A260" s="2" t="s">
        <v>483</v>
      </c>
      <c r="B260" s="2" t="s">
        <v>2166</v>
      </c>
      <c r="C260" s="2">
        <v>450</v>
      </c>
      <c r="D260" s="2">
        <v>225</v>
      </c>
      <c r="E260" s="2">
        <v>75</v>
      </c>
      <c r="F260" s="2">
        <v>65</v>
      </c>
      <c r="G260" s="21">
        <f t="shared" si="35"/>
        <v>7.0875000000000004</v>
      </c>
      <c r="H260" s="20">
        <f t="shared" si="50"/>
        <v>7.5940000000000003</v>
      </c>
      <c r="I260" s="20">
        <f t="shared" si="51"/>
        <v>7.0880000000000001</v>
      </c>
      <c r="J260" s="75">
        <f t="shared" si="52"/>
        <v>4.3879999999999999</v>
      </c>
      <c r="K260" s="59"/>
      <c r="L260" s="20"/>
      <c r="M260" s="20"/>
      <c r="N260" s="20"/>
      <c r="O260" s="20"/>
      <c r="P260" s="20"/>
      <c r="Q260" s="21"/>
      <c r="R260" s="22">
        <f t="shared" si="39"/>
        <v>225</v>
      </c>
      <c r="S260" s="22"/>
      <c r="T260" s="20">
        <f t="shared" si="40"/>
        <v>6840.422209191478</v>
      </c>
      <c r="U260" s="22">
        <v>1</v>
      </c>
      <c r="V260" s="20"/>
    </row>
    <row r="261" spans="1:22" ht="13.8" thickBot="1">
      <c r="A261" s="2" t="s">
        <v>484</v>
      </c>
      <c r="B261" s="2" t="s">
        <v>2166</v>
      </c>
      <c r="C261" s="2">
        <v>450</v>
      </c>
      <c r="D261" s="2">
        <v>225</v>
      </c>
      <c r="E261" s="2">
        <v>80</v>
      </c>
      <c r="F261" s="2">
        <v>65</v>
      </c>
      <c r="G261" s="21">
        <f t="shared" si="35"/>
        <v>7.3406250000000002</v>
      </c>
      <c r="H261" s="20">
        <f t="shared" si="50"/>
        <v>8.1</v>
      </c>
      <c r="I261" s="20">
        <f t="shared" si="51"/>
        <v>7.3410000000000002</v>
      </c>
      <c r="J261" s="75">
        <f t="shared" si="52"/>
        <v>4.4610000000000003</v>
      </c>
      <c r="K261" s="59"/>
      <c r="L261" s="20"/>
      <c r="M261" s="20"/>
      <c r="N261" s="20"/>
      <c r="O261" s="20"/>
      <c r="P261" s="20"/>
      <c r="Q261" s="21"/>
      <c r="R261" s="22">
        <f t="shared" si="39"/>
        <v>225</v>
      </c>
      <c r="S261" s="22"/>
      <c r="T261" s="20">
        <f t="shared" si="40"/>
        <v>4860.6749531315099</v>
      </c>
      <c r="U261" s="22">
        <v>1</v>
      </c>
      <c r="V261" s="20"/>
    </row>
    <row r="262" spans="1:22" ht="25.2" thickBot="1">
      <c r="A262" s="378" t="s">
        <v>1509</v>
      </c>
      <c r="B262" s="357"/>
      <c r="C262" s="357"/>
      <c r="D262" s="357"/>
      <c r="E262" s="357"/>
      <c r="F262" s="357"/>
      <c r="G262" s="102"/>
      <c r="H262" s="72"/>
      <c r="I262" s="72"/>
      <c r="J262" s="72"/>
      <c r="K262" s="74"/>
      <c r="L262" s="20"/>
      <c r="M262" s="20"/>
      <c r="N262" s="20"/>
      <c r="O262" s="20"/>
      <c r="P262" s="20"/>
      <c r="Q262" s="23"/>
      <c r="R262" s="22"/>
      <c r="S262" s="22"/>
      <c r="T262" s="20"/>
      <c r="U262" s="22"/>
      <c r="V262" s="20"/>
    </row>
    <row r="263" spans="1:22">
      <c r="A263" s="68" t="s">
        <v>1272</v>
      </c>
      <c r="B263" s="349" t="s">
        <v>2165</v>
      </c>
      <c r="C263" s="438">
        <v>152.4</v>
      </c>
      <c r="D263" s="438">
        <v>114.3</v>
      </c>
      <c r="E263" s="438">
        <v>76.2</v>
      </c>
      <c r="F263" s="438">
        <v>76.2</v>
      </c>
      <c r="G263" s="17">
        <f t="shared" ref="G263:G326" si="53">C263*D263*E263/10^6</f>
        <v>1.3273521840000002</v>
      </c>
      <c r="K263" s="59"/>
    </row>
    <row r="264" spans="1:22">
      <c r="A264" s="68" t="s">
        <v>1277</v>
      </c>
      <c r="B264" s="349" t="s">
        <v>2165</v>
      </c>
      <c r="C264" s="438">
        <v>152.4</v>
      </c>
      <c r="D264" s="438">
        <v>114.3</v>
      </c>
      <c r="E264" s="438">
        <v>63.5</v>
      </c>
      <c r="F264" s="438">
        <v>63.5</v>
      </c>
      <c r="G264" s="17">
        <f t="shared" si="53"/>
        <v>1.1061268200000001</v>
      </c>
      <c r="K264" s="59"/>
    </row>
    <row r="265" spans="1:22">
      <c r="A265" s="68" t="s">
        <v>1282</v>
      </c>
      <c r="B265" s="349" t="s">
        <v>2165</v>
      </c>
      <c r="C265" s="438">
        <v>152.4</v>
      </c>
      <c r="D265" s="438">
        <v>114.3</v>
      </c>
      <c r="E265" s="438">
        <v>100</v>
      </c>
      <c r="F265" s="438">
        <v>100</v>
      </c>
      <c r="G265" s="17">
        <f t="shared" si="53"/>
        <v>1.741932</v>
      </c>
      <c r="K265" s="59"/>
    </row>
    <row r="266" spans="1:22">
      <c r="A266" s="68" t="s">
        <v>1281</v>
      </c>
      <c r="B266" s="349" t="s">
        <v>2165</v>
      </c>
      <c r="C266" s="438">
        <v>152.4</v>
      </c>
      <c r="D266" s="438">
        <v>127</v>
      </c>
      <c r="E266" s="438">
        <v>76.2</v>
      </c>
      <c r="F266" s="438">
        <v>76.2</v>
      </c>
      <c r="G266" s="17">
        <f t="shared" si="53"/>
        <v>1.4748357599999999</v>
      </c>
      <c r="K266" s="59"/>
    </row>
    <row r="267" spans="1:22">
      <c r="A267" s="68" t="s">
        <v>1280</v>
      </c>
      <c r="B267" s="349" t="s">
        <v>2165</v>
      </c>
      <c r="C267" s="438">
        <v>152.4</v>
      </c>
      <c r="D267" s="438">
        <v>139.69999999999999</v>
      </c>
      <c r="E267" s="438">
        <v>101.6</v>
      </c>
      <c r="F267" s="438">
        <v>101.6</v>
      </c>
      <c r="G267" s="17">
        <f t="shared" si="53"/>
        <v>2.163092448</v>
      </c>
      <c r="K267" s="59"/>
    </row>
    <row r="268" spans="1:22">
      <c r="A268" s="68" t="s">
        <v>1275</v>
      </c>
      <c r="B268" s="349" t="s">
        <v>2165</v>
      </c>
      <c r="C268" s="438">
        <v>152.4</v>
      </c>
      <c r="D268" s="438">
        <v>152.4</v>
      </c>
      <c r="E268" s="438">
        <v>50.8</v>
      </c>
      <c r="F268" s="438">
        <v>50.8</v>
      </c>
      <c r="G268" s="17">
        <f t="shared" si="53"/>
        <v>1.179868608</v>
      </c>
      <c r="K268" s="59"/>
    </row>
    <row r="269" spans="1:22">
      <c r="A269" s="68" t="s">
        <v>1274</v>
      </c>
      <c r="B269" s="349" t="s">
        <v>2165</v>
      </c>
      <c r="C269" s="438">
        <v>152.4</v>
      </c>
      <c r="D269" s="438">
        <v>152.4</v>
      </c>
      <c r="E269" s="438">
        <v>76.2</v>
      </c>
      <c r="F269" s="438">
        <v>76.2</v>
      </c>
      <c r="G269" s="17">
        <f t="shared" si="53"/>
        <v>1.7698029120000003</v>
      </c>
      <c r="K269" s="59"/>
    </row>
    <row r="270" spans="1:22">
      <c r="A270" s="68" t="s">
        <v>1273</v>
      </c>
      <c r="B270" s="349" t="s">
        <v>2165</v>
      </c>
      <c r="C270" s="438">
        <v>152.4</v>
      </c>
      <c r="D270" s="438">
        <v>152.4</v>
      </c>
      <c r="E270" s="438">
        <v>101.6</v>
      </c>
      <c r="F270" s="438">
        <v>101.6</v>
      </c>
      <c r="G270" s="17">
        <f t="shared" si="53"/>
        <v>2.3597372160000001</v>
      </c>
      <c r="K270" s="59"/>
    </row>
    <row r="271" spans="1:22">
      <c r="A271" s="68" t="s">
        <v>1279</v>
      </c>
      <c r="B271" s="349" t="s">
        <v>2165</v>
      </c>
      <c r="C271" s="438">
        <v>152.4</v>
      </c>
      <c r="D271" s="438">
        <v>152.4</v>
      </c>
      <c r="E271" s="438">
        <v>114.3</v>
      </c>
      <c r="F271" s="438">
        <v>114.3</v>
      </c>
      <c r="G271" s="17">
        <f t="shared" si="53"/>
        <v>2.6547043680000004</v>
      </c>
      <c r="K271" s="59"/>
    </row>
    <row r="272" spans="1:22">
      <c r="A272" s="68" t="s">
        <v>1276</v>
      </c>
      <c r="B272" s="349" t="s">
        <v>2165</v>
      </c>
      <c r="C272" s="438">
        <v>152.4</v>
      </c>
      <c r="D272" s="438">
        <v>152.4</v>
      </c>
      <c r="E272" s="438">
        <v>139.69999999999999</v>
      </c>
      <c r="F272" s="438">
        <v>139.69999999999999</v>
      </c>
      <c r="G272" s="17">
        <f t="shared" si="53"/>
        <v>3.2446386720000002</v>
      </c>
      <c r="K272" s="59"/>
    </row>
    <row r="273" spans="1:11">
      <c r="A273" s="68" t="s">
        <v>1278</v>
      </c>
      <c r="B273" s="349" t="s">
        <v>2165</v>
      </c>
      <c r="C273" s="438">
        <v>152.4</v>
      </c>
      <c r="D273" s="438">
        <v>152.4</v>
      </c>
      <c r="E273" s="438">
        <v>152.4</v>
      </c>
      <c r="F273" s="438">
        <v>152.4</v>
      </c>
      <c r="G273" s="17">
        <f t="shared" si="53"/>
        <v>3.5396058240000006</v>
      </c>
      <c r="K273" s="59"/>
    </row>
    <row r="274" spans="1:11">
      <c r="A274" s="375" t="s">
        <v>1291</v>
      </c>
      <c r="B274" s="375" t="s">
        <v>2165</v>
      </c>
      <c r="C274" s="375">
        <v>177.8</v>
      </c>
      <c r="D274" s="375">
        <v>76.2</v>
      </c>
      <c r="E274" s="375">
        <v>76.2</v>
      </c>
      <c r="F274" s="375">
        <v>76.2</v>
      </c>
      <c r="G274" s="17">
        <f t="shared" si="53"/>
        <v>1.0323850320000001</v>
      </c>
      <c r="K274" s="59"/>
    </row>
    <row r="275" spans="1:11">
      <c r="A275" s="375" t="s">
        <v>1289</v>
      </c>
      <c r="B275" s="375" t="s">
        <v>2165</v>
      </c>
      <c r="C275" s="375">
        <v>177.8</v>
      </c>
      <c r="D275" s="375">
        <v>114.3</v>
      </c>
      <c r="E275" s="375">
        <v>76.2</v>
      </c>
      <c r="F275" s="375">
        <v>76.2</v>
      </c>
      <c r="G275" s="17">
        <f t="shared" si="53"/>
        <v>1.5485775480000001</v>
      </c>
      <c r="K275" s="59"/>
    </row>
    <row r="276" spans="1:11">
      <c r="A276" s="375" t="s">
        <v>1292</v>
      </c>
      <c r="B276" s="375" t="s">
        <v>2165</v>
      </c>
      <c r="C276" s="375">
        <v>177.8</v>
      </c>
      <c r="D276" s="375">
        <v>127</v>
      </c>
      <c r="E276" s="375">
        <v>101.6</v>
      </c>
      <c r="F276" s="375">
        <v>101.6</v>
      </c>
      <c r="G276" s="17">
        <f t="shared" si="53"/>
        <v>2.2941889600000001</v>
      </c>
      <c r="K276" s="59"/>
    </row>
    <row r="277" spans="1:11">
      <c r="A277" s="375" t="s">
        <v>1290</v>
      </c>
      <c r="B277" s="375" t="s">
        <v>2165</v>
      </c>
      <c r="C277" s="375">
        <v>177.8</v>
      </c>
      <c r="D277" s="375">
        <v>152.4</v>
      </c>
      <c r="E277" s="375">
        <v>50.8</v>
      </c>
      <c r="F277" s="375">
        <v>50.8</v>
      </c>
      <c r="G277" s="17">
        <f t="shared" si="53"/>
        <v>1.3765133759999999</v>
      </c>
      <c r="K277" s="59"/>
    </row>
    <row r="278" spans="1:11">
      <c r="A278" s="375" t="s">
        <v>1286</v>
      </c>
      <c r="B278" s="375" t="s">
        <v>2165</v>
      </c>
      <c r="C278" s="375">
        <v>177.8</v>
      </c>
      <c r="D278" s="375">
        <v>152.4</v>
      </c>
      <c r="E278" s="375">
        <v>57.2</v>
      </c>
      <c r="F278" s="375">
        <v>57.2</v>
      </c>
      <c r="G278" s="17">
        <f t="shared" si="53"/>
        <v>1.5499323840000001</v>
      </c>
      <c r="K278" s="59"/>
    </row>
    <row r="279" spans="1:11">
      <c r="A279" s="375" t="s">
        <v>1288</v>
      </c>
      <c r="B279" s="375" t="s">
        <v>2165</v>
      </c>
      <c r="C279" s="375">
        <v>177.8</v>
      </c>
      <c r="D279" s="375">
        <v>152.4</v>
      </c>
      <c r="E279" s="375">
        <v>63.5</v>
      </c>
      <c r="F279" s="375">
        <v>63.5</v>
      </c>
      <c r="G279" s="17">
        <f t="shared" si="53"/>
        <v>1.7206417199999999</v>
      </c>
      <c r="K279" s="59"/>
    </row>
    <row r="280" spans="1:11">
      <c r="A280" s="375" t="s">
        <v>1284</v>
      </c>
      <c r="B280" s="375" t="s">
        <v>2165</v>
      </c>
      <c r="C280" s="375">
        <v>177.8</v>
      </c>
      <c r="D280" s="375">
        <v>152.4</v>
      </c>
      <c r="E280" s="375">
        <v>76.2</v>
      </c>
      <c r="F280" s="375">
        <v>76.2</v>
      </c>
      <c r="G280" s="17">
        <f t="shared" si="53"/>
        <v>2.0647700640000002</v>
      </c>
      <c r="K280" s="59"/>
    </row>
    <row r="281" spans="1:11">
      <c r="A281" s="375" t="s">
        <v>1285</v>
      </c>
      <c r="B281" s="375" t="s">
        <v>2165</v>
      </c>
      <c r="C281" s="375">
        <v>177.8</v>
      </c>
      <c r="D281" s="375">
        <v>152.4</v>
      </c>
      <c r="E281" s="375">
        <v>100</v>
      </c>
      <c r="F281" s="375">
        <v>100</v>
      </c>
      <c r="G281" s="17">
        <f t="shared" si="53"/>
        <v>2.7096719999999999</v>
      </c>
      <c r="K281" s="59"/>
    </row>
    <row r="282" spans="1:11">
      <c r="A282" s="375" t="s">
        <v>1283</v>
      </c>
      <c r="B282" s="375" t="s">
        <v>2165</v>
      </c>
      <c r="C282" s="375">
        <v>177.8</v>
      </c>
      <c r="D282" s="375">
        <v>152.4</v>
      </c>
      <c r="E282" s="375">
        <v>101.6</v>
      </c>
      <c r="F282" s="375">
        <v>101.6</v>
      </c>
      <c r="G282" s="17">
        <f t="shared" si="53"/>
        <v>2.7530267519999998</v>
      </c>
      <c r="K282" s="59"/>
    </row>
    <row r="283" spans="1:11">
      <c r="A283" s="375" t="s">
        <v>1287</v>
      </c>
      <c r="B283" s="375" t="s">
        <v>2165</v>
      </c>
      <c r="C283" s="375">
        <v>177.8</v>
      </c>
      <c r="D283" s="375">
        <v>177.8</v>
      </c>
      <c r="E283" s="375">
        <v>57.2</v>
      </c>
      <c r="F283" s="375">
        <v>57.2</v>
      </c>
      <c r="G283" s="17">
        <f t="shared" si="53"/>
        <v>1.8082544480000002</v>
      </c>
      <c r="K283" s="59"/>
    </row>
    <row r="284" spans="1:11">
      <c r="A284" s="383" t="s">
        <v>1294</v>
      </c>
      <c r="B284" s="383" t="s">
        <v>2165</v>
      </c>
      <c r="C284" s="383">
        <v>203.2</v>
      </c>
      <c r="D284" s="383">
        <v>101.6</v>
      </c>
      <c r="E284" s="383">
        <v>60.3</v>
      </c>
      <c r="F284" s="383">
        <v>60.3</v>
      </c>
      <c r="G284" s="17">
        <f t="shared" si="53"/>
        <v>1.2449007359999997</v>
      </c>
      <c r="K284" s="59"/>
    </row>
    <row r="285" spans="1:11">
      <c r="A285" s="383" t="s">
        <v>1295</v>
      </c>
      <c r="B285" s="383" t="s">
        <v>2165</v>
      </c>
      <c r="C285" s="383">
        <v>203.2</v>
      </c>
      <c r="D285" s="383">
        <v>101.6</v>
      </c>
      <c r="E285" s="383">
        <v>76.2</v>
      </c>
      <c r="F285" s="383">
        <v>76.2</v>
      </c>
      <c r="G285" s="17">
        <f t="shared" si="53"/>
        <v>1.573158144</v>
      </c>
      <c r="K285" s="59"/>
    </row>
    <row r="286" spans="1:11">
      <c r="A286" s="383" t="s">
        <v>1296</v>
      </c>
      <c r="B286" s="383" t="s">
        <v>2165</v>
      </c>
      <c r="C286" s="383">
        <v>203.2</v>
      </c>
      <c r="D286" s="383">
        <v>114.3</v>
      </c>
      <c r="E286" s="383">
        <v>69.900000000000006</v>
      </c>
      <c r="F286" s="383">
        <v>69.900000000000006</v>
      </c>
      <c r="G286" s="17">
        <f t="shared" si="53"/>
        <v>1.6234806240000001</v>
      </c>
      <c r="K286" s="59"/>
    </row>
    <row r="287" spans="1:11">
      <c r="A287" s="383" t="s">
        <v>1293</v>
      </c>
      <c r="B287" s="383" t="s">
        <v>2165</v>
      </c>
      <c r="C287" s="383">
        <v>203.2</v>
      </c>
      <c r="D287" s="383">
        <v>152.4</v>
      </c>
      <c r="E287" s="383">
        <v>76.2</v>
      </c>
      <c r="F287" s="383">
        <v>76.2</v>
      </c>
      <c r="G287" s="17">
        <f t="shared" si="53"/>
        <v>2.3597372160000001</v>
      </c>
      <c r="K287" s="59"/>
    </row>
    <row r="288" spans="1:11">
      <c r="A288" s="383" t="s">
        <v>1297</v>
      </c>
      <c r="B288" s="383" t="s">
        <v>2165</v>
      </c>
      <c r="C288" s="383">
        <v>203.2</v>
      </c>
      <c r="D288" s="383">
        <v>171.5</v>
      </c>
      <c r="E288" s="383">
        <v>100</v>
      </c>
      <c r="F288" s="383">
        <v>100</v>
      </c>
      <c r="G288" s="17">
        <f t="shared" si="53"/>
        <v>3.4848799999999995</v>
      </c>
      <c r="K288" s="59"/>
    </row>
    <row r="289" spans="1:11">
      <c r="A289" s="363" t="s">
        <v>1325</v>
      </c>
      <c r="B289" s="363" t="s">
        <v>2165</v>
      </c>
      <c r="C289" s="363">
        <v>228.6</v>
      </c>
      <c r="D289" s="363">
        <v>63.5</v>
      </c>
      <c r="E289" s="363">
        <v>63.5</v>
      </c>
      <c r="F289" s="363">
        <v>63.5</v>
      </c>
      <c r="G289" s="17">
        <f t="shared" si="53"/>
        <v>0.92177235000000002</v>
      </c>
      <c r="K289" s="59"/>
    </row>
    <row r="290" spans="1:11">
      <c r="A290" s="363" t="s">
        <v>1309</v>
      </c>
      <c r="B290" s="363" t="s">
        <v>2165</v>
      </c>
      <c r="C290" s="363">
        <v>228.6</v>
      </c>
      <c r="D290" s="363">
        <v>76.2</v>
      </c>
      <c r="E290" s="363">
        <v>63.5</v>
      </c>
      <c r="F290" s="363">
        <v>63.5</v>
      </c>
      <c r="G290" s="17">
        <f t="shared" si="53"/>
        <v>1.1061268200000001</v>
      </c>
      <c r="K290" s="59"/>
    </row>
    <row r="291" spans="1:11">
      <c r="A291" s="363" t="s">
        <v>1310</v>
      </c>
      <c r="B291" s="363" t="s">
        <v>2165</v>
      </c>
      <c r="C291" s="363">
        <v>228.6</v>
      </c>
      <c r="D291" s="363">
        <v>76.2</v>
      </c>
      <c r="E291" s="363">
        <v>57.2</v>
      </c>
      <c r="F291" s="363">
        <v>57.2</v>
      </c>
      <c r="G291" s="17">
        <f t="shared" si="53"/>
        <v>0.99638510400000002</v>
      </c>
      <c r="K291" s="59"/>
    </row>
    <row r="292" spans="1:11">
      <c r="A292" s="363" t="s">
        <v>1316</v>
      </c>
      <c r="B292" s="363" t="s">
        <v>2165</v>
      </c>
      <c r="C292" s="363">
        <v>228.6</v>
      </c>
      <c r="D292" s="363">
        <v>76.2</v>
      </c>
      <c r="E292" s="363">
        <v>76.2</v>
      </c>
      <c r="F292" s="363">
        <v>76.2</v>
      </c>
      <c r="G292" s="17">
        <f t="shared" si="53"/>
        <v>1.3273521840000002</v>
      </c>
      <c r="K292" s="59"/>
    </row>
    <row r="293" spans="1:11">
      <c r="A293" s="363" t="s">
        <v>1321</v>
      </c>
      <c r="B293" s="363" t="s">
        <v>2165</v>
      </c>
      <c r="C293" s="363">
        <v>228.6</v>
      </c>
      <c r="D293" s="363">
        <v>101.6</v>
      </c>
      <c r="E293" s="363">
        <v>76.2</v>
      </c>
      <c r="F293" s="363">
        <v>76.2</v>
      </c>
      <c r="G293" s="17">
        <f t="shared" si="53"/>
        <v>1.7698029120000001</v>
      </c>
      <c r="K293" s="59"/>
    </row>
    <row r="294" spans="1:11">
      <c r="A294" s="363" t="s">
        <v>1330</v>
      </c>
      <c r="B294" s="363" t="s">
        <v>2165</v>
      </c>
      <c r="C294" s="363">
        <v>228.6</v>
      </c>
      <c r="D294" s="363">
        <v>101.6</v>
      </c>
      <c r="E294" s="363">
        <v>101.6</v>
      </c>
      <c r="F294" s="363">
        <v>101.6</v>
      </c>
      <c r="G294" s="17">
        <f t="shared" si="53"/>
        <v>2.3597372159999996</v>
      </c>
      <c r="K294" s="59"/>
    </row>
    <row r="295" spans="1:11">
      <c r="A295" s="363" t="s">
        <v>1311</v>
      </c>
      <c r="B295" s="363" t="s">
        <v>2165</v>
      </c>
      <c r="C295" s="363">
        <v>228.6</v>
      </c>
      <c r="D295" s="363">
        <v>114.3</v>
      </c>
      <c r="E295" s="363">
        <v>25.4</v>
      </c>
      <c r="F295" s="363">
        <v>25.4</v>
      </c>
      <c r="G295" s="17">
        <f t="shared" si="53"/>
        <v>0.663676092</v>
      </c>
      <c r="K295" s="59"/>
    </row>
    <row r="296" spans="1:11">
      <c r="A296" s="363" t="s">
        <v>1300</v>
      </c>
      <c r="B296" s="363" t="s">
        <v>2165</v>
      </c>
      <c r="C296" s="363">
        <v>228.6</v>
      </c>
      <c r="D296" s="363">
        <v>114.3</v>
      </c>
      <c r="E296" s="363">
        <v>31.8</v>
      </c>
      <c r="F296" s="363">
        <v>31.8</v>
      </c>
      <c r="G296" s="17">
        <f t="shared" si="53"/>
        <v>0.83090156400000004</v>
      </c>
      <c r="K296" s="59"/>
    </row>
    <row r="297" spans="1:11">
      <c r="A297" s="363" t="s">
        <v>1319</v>
      </c>
      <c r="B297" s="363" t="s">
        <v>2165</v>
      </c>
      <c r="C297" s="363">
        <v>228.6</v>
      </c>
      <c r="D297" s="363">
        <v>114.3</v>
      </c>
      <c r="E297" s="363">
        <v>38.1</v>
      </c>
      <c r="F297" s="363">
        <v>38.1</v>
      </c>
      <c r="G297" s="17">
        <f t="shared" si="53"/>
        <v>0.99551413799999999</v>
      </c>
      <c r="K297" s="59"/>
    </row>
    <row r="298" spans="1:11">
      <c r="A298" s="363" t="s">
        <v>1342</v>
      </c>
      <c r="B298" s="363" t="s">
        <v>2165</v>
      </c>
      <c r="C298" s="363">
        <v>228.6</v>
      </c>
      <c r="D298" s="363">
        <v>114.3</v>
      </c>
      <c r="E298" s="363">
        <v>40</v>
      </c>
      <c r="F298" s="363">
        <v>40</v>
      </c>
      <c r="G298" s="17">
        <f t="shared" si="53"/>
        <v>1.0451591999999998</v>
      </c>
      <c r="K298" s="59"/>
    </row>
    <row r="299" spans="1:11">
      <c r="A299" s="363" t="s">
        <v>1301</v>
      </c>
      <c r="B299" s="363" t="s">
        <v>2165</v>
      </c>
      <c r="C299" s="363">
        <v>228.6</v>
      </c>
      <c r="D299" s="363">
        <v>114.3</v>
      </c>
      <c r="E299" s="363">
        <v>50.8</v>
      </c>
      <c r="F299" s="363">
        <v>50.8</v>
      </c>
      <c r="G299" s="17">
        <f t="shared" si="53"/>
        <v>1.327352184</v>
      </c>
      <c r="K299" s="59"/>
    </row>
    <row r="300" spans="1:11">
      <c r="A300" s="363" t="s">
        <v>1299</v>
      </c>
      <c r="B300" s="363" t="s">
        <v>2165</v>
      </c>
      <c r="C300" s="363">
        <v>228.6</v>
      </c>
      <c r="D300" s="363">
        <v>114.3</v>
      </c>
      <c r="E300" s="363">
        <v>63.5</v>
      </c>
      <c r="F300" s="363">
        <v>63.5</v>
      </c>
      <c r="G300" s="17">
        <f t="shared" si="53"/>
        <v>1.6591902299999999</v>
      </c>
      <c r="K300" s="59"/>
    </row>
    <row r="301" spans="1:11">
      <c r="A301" s="363" t="s">
        <v>1343</v>
      </c>
      <c r="B301" s="363" t="s">
        <v>2165</v>
      </c>
      <c r="C301" s="363">
        <v>228.6</v>
      </c>
      <c r="D301" s="363">
        <v>114.3</v>
      </c>
      <c r="E301" s="363">
        <v>64</v>
      </c>
      <c r="F301" s="363">
        <v>64</v>
      </c>
      <c r="G301" s="17">
        <f t="shared" si="53"/>
        <v>1.67225472</v>
      </c>
      <c r="K301" s="59"/>
    </row>
    <row r="302" spans="1:11">
      <c r="A302" s="363" t="s">
        <v>1317</v>
      </c>
      <c r="B302" s="363" t="s">
        <v>2165</v>
      </c>
      <c r="C302" s="363">
        <v>228.6</v>
      </c>
      <c r="D302" s="363">
        <v>114.3</v>
      </c>
      <c r="E302" s="363">
        <v>76.2</v>
      </c>
      <c r="F302" s="363">
        <v>76.2</v>
      </c>
      <c r="G302" s="17">
        <f t="shared" si="53"/>
        <v>1.991028276</v>
      </c>
      <c r="K302" s="59"/>
    </row>
    <row r="303" spans="1:11">
      <c r="A303" s="363" t="s">
        <v>1312</v>
      </c>
      <c r="B303" s="363" t="s">
        <v>2165</v>
      </c>
      <c r="C303" s="363">
        <v>228.6</v>
      </c>
      <c r="D303" s="363">
        <v>114.3</v>
      </c>
      <c r="E303" s="363">
        <v>100</v>
      </c>
      <c r="F303" s="363">
        <v>100</v>
      </c>
      <c r="G303" s="17">
        <f t="shared" si="53"/>
        <v>2.6128979999999999</v>
      </c>
      <c r="K303" s="59"/>
    </row>
    <row r="304" spans="1:11">
      <c r="A304" s="363" t="s">
        <v>1335</v>
      </c>
      <c r="B304" s="363" t="s">
        <v>2165</v>
      </c>
      <c r="C304" s="363">
        <v>228.6</v>
      </c>
      <c r="D304" s="363">
        <v>114.3</v>
      </c>
      <c r="E304" s="363">
        <v>101.6</v>
      </c>
      <c r="F304" s="363">
        <v>101.6</v>
      </c>
      <c r="G304" s="17">
        <f t="shared" si="53"/>
        <v>2.654704368</v>
      </c>
      <c r="K304" s="59"/>
    </row>
    <row r="305" spans="1:11">
      <c r="A305" s="363" t="s">
        <v>1302</v>
      </c>
      <c r="B305" s="363" t="s">
        <v>2165</v>
      </c>
      <c r="C305" s="363">
        <v>228.6</v>
      </c>
      <c r="D305" s="363">
        <v>114.3</v>
      </c>
      <c r="E305" s="363">
        <v>114.3</v>
      </c>
      <c r="F305" s="363">
        <v>114.3</v>
      </c>
      <c r="G305" s="17">
        <f t="shared" si="53"/>
        <v>2.9865424140000001</v>
      </c>
      <c r="K305" s="59"/>
    </row>
    <row r="306" spans="1:11">
      <c r="A306" s="363" t="s">
        <v>1340</v>
      </c>
      <c r="B306" s="363" t="s">
        <v>2165</v>
      </c>
      <c r="C306" s="363">
        <v>228.6</v>
      </c>
      <c r="D306" s="363">
        <v>127</v>
      </c>
      <c r="E306" s="363">
        <v>76.2</v>
      </c>
      <c r="F306" s="363">
        <v>76.2</v>
      </c>
      <c r="G306" s="17">
        <f t="shared" si="53"/>
        <v>2.2122536400000001</v>
      </c>
      <c r="K306" s="59"/>
    </row>
    <row r="307" spans="1:11">
      <c r="A307" s="363" t="s">
        <v>1341</v>
      </c>
      <c r="B307" s="363" t="s">
        <v>2165</v>
      </c>
      <c r="C307" s="363">
        <v>228.6</v>
      </c>
      <c r="D307" s="363">
        <v>152.4</v>
      </c>
      <c r="E307" s="363">
        <v>19.100000000000001</v>
      </c>
      <c r="F307" s="363">
        <v>19.100000000000001</v>
      </c>
      <c r="G307" s="17">
        <f t="shared" si="53"/>
        <v>0.66541802400000005</v>
      </c>
      <c r="K307" s="59"/>
    </row>
    <row r="308" spans="1:11">
      <c r="A308" s="363" t="s">
        <v>1328</v>
      </c>
      <c r="B308" s="363" t="s">
        <v>2165</v>
      </c>
      <c r="C308" s="363">
        <v>228.6</v>
      </c>
      <c r="D308" s="363">
        <v>152.4</v>
      </c>
      <c r="E308" s="363">
        <v>25.4</v>
      </c>
      <c r="F308" s="363">
        <v>25.4</v>
      </c>
      <c r="G308" s="17">
        <f t="shared" si="53"/>
        <v>0.88490145599999992</v>
      </c>
      <c r="K308" s="59"/>
    </row>
    <row r="309" spans="1:11">
      <c r="A309" s="363" t="s">
        <v>1331</v>
      </c>
      <c r="B309" s="363" t="s">
        <v>2165</v>
      </c>
      <c r="C309" s="363">
        <v>228.6</v>
      </c>
      <c r="D309" s="363">
        <v>152.4</v>
      </c>
      <c r="E309" s="363">
        <v>31.8</v>
      </c>
      <c r="F309" s="363">
        <v>31.8</v>
      </c>
      <c r="G309" s="17">
        <f t="shared" si="53"/>
        <v>1.1078687520000001</v>
      </c>
      <c r="K309" s="59"/>
    </row>
    <row r="310" spans="1:11">
      <c r="A310" s="363" t="s">
        <v>1303</v>
      </c>
      <c r="B310" s="363" t="s">
        <v>2165</v>
      </c>
      <c r="C310" s="363">
        <v>228.6</v>
      </c>
      <c r="D310" s="363">
        <v>152.4</v>
      </c>
      <c r="E310" s="363">
        <v>38.1</v>
      </c>
      <c r="F310" s="363">
        <v>38.1</v>
      </c>
      <c r="G310" s="17">
        <f t="shared" si="53"/>
        <v>1.3273521840000002</v>
      </c>
      <c r="K310" s="59"/>
    </row>
    <row r="311" spans="1:11">
      <c r="A311" s="363" t="s">
        <v>1304</v>
      </c>
      <c r="B311" s="363" t="s">
        <v>2165</v>
      </c>
      <c r="C311" s="363">
        <v>228.6</v>
      </c>
      <c r="D311" s="363">
        <v>152.4</v>
      </c>
      <c r="E311" s="363">
        <v>50.8</v>
      </c>
      <c r="F311" s="363">
        <v>50.8</v>
      </c>
      <c r="G311" s="17">
        <f t="shared" si="53"/>
        <v>1.7698029119999998</v>
      </c>
      <c r="K311" s="59"/>
    </row>
    <row r="312" spans="1:11">
      <c r="A312" s="363" t="s">
        <v>1305</v>
      </c>
      <c r="B312" s="363" t="s">
        <v>2165</v>
      </c>
      <c r="C312" s="363">
        <v>228.6</v>
      </c>
      <c r="D312" s="363">
        <v>152.4</v>
      </c>
      <c r="E312" s="363">
        <v>63.5</v>
      </c>
      <c r="F312" s="363">
        <v>63.5</v>
      </c>
      <c r="G312" s="17">
        <f t="shared" si="53"/>
        <v>2.2122536400000001</v>
      </c>
      <c r="K312" s="59"/>
    </row>
    <row r="313" spans="1:11">
      <c r="A313" s="363" t="s">
        <v>1318</v>
      </c>
      <c r="B313" s="363" t="s">
        <v>2165</v>
      </c>
      <c r="C313" s="363">
        <v>228.6</v>
      </c>
      <c r="D313" s="363">
        <v>152.4</v>
      </c>
      <c r="E313" s="363">
        <v>76.2</v>
      </c>
      <c r="F313" s="363">
        <v>76.2</v>
      </c>
      <c r="G313" s="17">
        <f t="shared" si="53"/>
        <v>2.6547043680000004</v>
      </c>
      <c r="K313" s="59"/>
    </row>
    <row r="314" spans="1:11">
      <c r="A314" s="363" t="s">
        <v>1298</v>
      </c>
      <c r="B314" s="363" t="s">
        <v>2165</v>
      </c>
      <c r="C314" s="363">
        <v>228.6</v>
      </c>
      <c r="D314" s="363">
        <v>152.4</v>
      </c>
      <c r="E314" s="363">
        <v>100</v>
      </c>
      <c r="F314" s="363">
        <v>100</v>
      </c>
      <c r="G314" s="17">
        <f t="shared" si="53"/>
        <v>3.4838640000000001</v>
      </c>
      <c r="K314" s="59"/>
    </row>
    <row r="315" spans="1:11">
      <c r="A315" s="363" t="s">
        <v>1324</v>
      </c>
      <c r="B315" s="363" t="s">
        <v>2165</v>
      </c>
      <c r="C315" s="363">
        <v>228.6</v>
      </c>
      <c r="D315" s="363">
        <v>152.4</v>
      </c>
      <c r="E315" s="363">
        <v>101.6</v>
      </c>
      <c r="F315" s="363">
        <v>101.6</v>
      </c>
      <c r="G315" s="17">
        <f t="shared" si="53"/>
        <v>3.5396058239999997</v>
      </c>
      <c r="K315" s="59"/>
    </row>
    <row r="316" spans="1:11">
      <c r="A316" s="363" t="s">
        <v>1306</v>
      </c>
      <c r="B316" s="363" t="s">
        <v>2165</v>
      </c>
      <c r="C316" s="363">
        <v>228.6</v>
      </c>
      <c r="D316" s="363">
        <v>152.4</v>
      </c>
      <c r="E316" s="363">
        <v>114.3</v>
      </c>
      <c r="F316" s="363">
        <v>114.3</v>
      </c>
      <c r="G316" s="17">
        <f t="shared" si="53"/>
        <v>3.9820565519999995</v>
      </c>
      <c r="K316" s="59"/>
    </row>
    <row r="317" spans="1:11">
      <c r="A317" s="363" t="s">
        <v>1334</v>
      </c>
      <c r="B317" s="363" t="s">
        <v>2165</v>
      </c>
      <c r="C317" s="363">
        <v>228.6</v>
      </c>
      <c r="D317" s="363">
        <v>152.4</v>
      </c>
      <c r="E317" s="363">
        <v>152.4</v>
      </c>
      <c r="F317" s="363">
        <v>152.4</v>
      </c>
      <c r="G317" s="17">
        <f t="shared" si="53"/>
        <v>5.3094087360000009</v>
      </c>
      <c r="K317" s="59"/>
    </row>
    <row r="318" spans="1:11">
      <c r="A318" s="363" t="s">
        <v>1326</v>
      </c>
      <c r="B318" s="363" t="s">
        <v>2165</v>
      </c>
      <c r="C318" s="363">
        <v>228.6</v>
      </c>
      <c r="D318" s="363">
        <v>171.5</v>
      </c>
      <c r="E318" s="363">
        <v>38.1</v>
      </c>
      <c r="F318" s="363">
        <v>38.1</v>
      </c>
      <c r="G318" s="17">
        <f t="shared" si="53"/>
        <v>1.4937066900000002</v>
      </c>
      <c r="K318" s="59"/>
    </row>
    <row r="319" spans="1:11">
      <c r="A319" s="363" t="s">
        <v>1327</v>
      </c>
      <c r="B319" s="363" t="s">
        <v>2165</v>
      </c>
      <c r="C319" s="363">
        <v>228.6</v>
      </c>
      <c r="D319" s="363">
        <v>171.5</v>
      </c>
      <c r="E319" s="363">
        <v>50.8</v>
      </c>
      <c r="F319" s="363">
        <v>50.8</v>
      </c>
      <c r="G319" s="17">
        <f t="shared" si="53"/>
        <v>1.99160892</v>
      </c>
      <c r="K319" s="59"/>
    </row>
    <row r="320" spans="1:11">
      <c r="A320" s="363" t="s">
        <v>1332</v>
      </c>
      <c r="B320" s="363" t="s">
        <v>2165</v>
      </c>
      <c r="C320" s="363">
        <v>228.6</v>
      </c>
      <c r="D320" s="363">
        <v>177.8</v>
      </c>
      <c r="E320" s="363">
        <v>76.2</v>
      </c>
      <c r="F320" s="363">
        <v>76.2</v>
      </c>
      <c r="G320" s="17">
        <f t="shared" si="53"/>
        <v>3.0971550960000003</v>
      </c>
      <c r="K320" s="59"/>
    </row>
    <row r="321" spans="1:11">
      <c r="A321" s="363" t="s">
        <v>1338</v>
      </c>
      <c r="B321" s="363" t="s">
        <v>2165</v>
      </c>
      <c r="C321" s="363">
        <v>228.6</v>
      </c>
      <c r="D321" s="363">
        <v>203.2</v>
      </c>
      <c r="E321" s="363">
        <v>63.5</v>
      </c>
      <c r="F321" s="363">
        <v>63.5</v>
      </c>
      <c r="G321" s="17">
        <f t="shared" si="53"/>
        <v>2.9496715199999999</v>
      </c>
      <c r="K321" s="59"/>
    </row>
    <row r="322" spans="1:11">
      <c r="A322" s="363" t="s">
        <v>1314</v>
      </c>
      <c r="B322" s="363" t="s">
        <v>2165</v>
      </c>
      <c r="C322" s="363">
        <v>228.6</v>
      </c>
      <c r="D322" s="363">
        <v>203.2</v>
      </c>
      <c r="E322" s="363">
        <v>76.2</v>
      </c>
      <c r="F322" s="363">
        <v>76.2</v>
      </c>
      <c r="G322" s="17">
        <f t="shared" si="53"/>
        <v>3.5396058240000001</v>
      </c>
      <c r="K322" s="59"/>
    </row>
    <row r="323" spans="1:11">
      <c r="A323" s="363" t="s">
        <v>1337</v>
      </c>
      <c r="B323" s="363" t="s">
        <v>2165</v>
      </c>
      <c r="C323" s="363">
        <v>228.6</v>
      </c>
      <c r="D323" s="363">
        <v>203.2</v>
      </c>
      <c r="E323" s="363">
        <v>152.4</v>
      </c>
      <c r="F323" s="363">
        <v>152.4</v>
      </c>
      <c r="G323" s="17">
        <f t="shared" si="53"/>
        <v>7.0792116480000002</v>
      </c>
      <c r="K323" s="59"/>
    </row>
    <row r="324" spans="1:11">
      <c r="A324" s="363" t="s">
        <v>1339</v>
      </c>
      <c r="B324" s="363" t="s">
        <v>2165</v>
      </c>
      <c r="C324" s="363">
        <v>228.6</v>
      </c>
      <c r="D324" s="363">
        <v>228.6</v>
      </c>
      <c r="E324" s="363">
        <v>25.4</v>
      </c>
      <c r="F324" s="363">
        <v>25.4</v>
      </c>
      <c r="G324" s="17">
        <f t="shared" si="53"/>
        <v>1.327352184</v>
      </c>
      <c r="K324" s="59"/>
    </row>
    <row r="325" spans="1:11">
      <c r="A325" s="363" t="s">
        <v>1333</v>
      </c>
      <c r="B325" s="363" t="s">
        <v>2165</v>
      </c>
      <c r="C325" s="363">
        <v>228.6</v>
      </c>
      <c r="D325" s="363">
        <v>228.6</v>
      </c>
      <c r="E325" s="363">
        <v>31.8</v>
      </c>
      <c r="F325" s="363">
        <v>31.8</v>
      </c>
      <c r="G325" s="17">
        <f t="shared" si="53"/>
        <v>1.6618031280000001</v>
      </c>
      <c r="K325" s="59"/>
    </row>
    <row r="326" spans="1:11">
      <c r="A326" s="363" t="s">
        <v>1329</v>
      </c>
      <c r="B326" s="363" t="s">
        <v>2165</v>
      </c>
      <c r="C326" s="363">
        <v>228.6</v>
      </c>
      <c r="D326" s="363">
        <v>228.6</v>
      </c>
      <c r="E326" s="363">
        <v>38.1</v>
      </c>
      <c r="F326" s="363">
        <v>38.1</v>
      </c>
      <c r="G326" s="17">
        <f t="shared" si="53"/>
        <v>1.991028276</v>
      </c>
      <c r="K326" s="59"/>
    </row>
    <row r="327" spans="1:11">
      <c r="A327" s="363" t="s">
        <v>1322</v>
      </c>
      <c r="B327" s="363" t="s">
        <v>2165</v>
      </c>
      <c r="C327" s="363">
        <v>228.6</v>
      </c>
      <c r="D327" s="363">
        <v>228.6</v>
      </c>
      <c r="E327" s="363">
        <v>50.8</v>
      </c>
      <c r="F327" s="363">
        <v>50.8</v>
      </c>
      <c r="G327" s="17">
        <f t="shared" ref="G327:G390" si="54">C327*D327*E327/10^6</f>
        <v>2.654704368</v>
      </c>
      <c r="K327" s="59"/>
    </row>
    <row r="328" spans="1:11">
      <c r="A328" s="363" t="s">
        <v>1323</v>
      </c>
      <c r="B328" s="363" t="s">
        <v>2165</v>
      </c>
      <c r="C328" s="363">
        <v>228.6</v>
      </c>
      <c r="D328" s="363">
        <v>228.6</v>
      </c>
      <c r="E328" s="363">
        <v>63.5</v>
      </c>
      <c r="F328" s="363">
        <v>63.5</v>
      </c>
      <c r="G328" s="17">
        <f t="shared" si="54"/>
        <v>3.3183804599999998</v>
      </c>
      <c r="K328" s="59"/>
    </row>
    <row r="329" spans="1:11">
      <c r="A329" s="363" t="s">
        <v>1320</v>
      </c>
      <c r="B329" s="363" t="s">
        <v>2165</v>
      </c>
      <c r="C329" s="363">
        <v>228.6</v>
      </c>
      <c r="D329" s="363">
        <v>228.6</v>
      </c>
      <c r="E329" s="363">
        <v>76.2</v>
      </c>
      <c r="F329" s="363">
        <v>76.2</v>
      </c>
      <c r="G329" s="17">
        <f t="shared" si="54"/>
        <v>3.982056552</v>
      </c>
      <c r="K329" s="59"/>
    </row>
    <row r="330" spans="1:11">
      <c r="A330" s="363" t="s">
        <v>1313</v>
      </c>
      <c r="B330" s="363" t="s">
        <v>2165</v>
      </c>
      <c r="C330" s="363">
        <v>228.6</v>
      </c>
      <c r="D330" s="363">
        <v>228.6</v>
      </c>
      <c r="E330" s="363">
        <v>100</v>
      </c>
      <c r="F330" s="363">
        <v>100</v>
      </c>
      <c r="G330" s="17">
        <f t="shared" si="54"/>
        <v>5.2257959999999999</v>
      </c>
      <c r="K330" s="59"/>
    </row>
    <row r="331" spans="1:11">
      <c r="A331" s="363" t="s">
        <v>1307</v>
      </c>
      <c r="B331" s="363" t="s">
        <v>2165</v>
      </c>
      <c r="C331" s="363">
        <v>228.6</v>
      </c>
      <c r="D331" s="363">
        <v>228.6</v>
      </c>
      <c r="E331" s="363">
        <v>101.6</v>
      </c>
      <c r="F331" s="363">
        <v>101.6</v>
      </c>
      <c r="G331" s="17">
        <f t="shared" si="54"/>
        <v>5.309408736</v>
      </c>
      <c r="K331" s="59"/>
    </row>
    <row r="332" spans="1:11">
      <c r="A332" s="363" t="s">
        <v>1315</v>
      </c>
      <c r="B332" s="363" t="s">
        <v>2165</v>
      </c>
      <c r="C332" s="363">
        <v>228.6</v>
      </c>
      <c r="D332" s="363">
        <v>228.6</v>
      </c>
      <c r="E332" s="363">
        <v>114.3</v>
      </c>
      <c r="F332" s="363">
        <v>114.3</v>
      </c>
      <c r="G332" s="17">
        <f t="shared" si="54"/>
        <v>5.9730848280000002</v>
      </c>
      <c r="K332" s="59"/>
    </row>
    <row r="333" spans="1:11">
      <c r="A333" s="363" t="s">
        <v>1308</v>
      </c>
      <c r="B333" s="363" t="s">
        <v>2165</v>
      </c>
      <c r="C333" s="363">
        <v>228.6</v>
      </c>
      <c r="D333" s="363">
        <v>228.6</v>
      </c>
      <c r="E333" s="363">
        <v>152.4</v>
      </c>
      <c r="F333" s="363">
        <v>152.4</v>
      </c>
      <c r="G333" s="17">
        <f t="shared" si="54"/>
        <v>7.9641131039999999</v>
      </c>
      <c r="K333" s="59"/>
    </row>
    <row r="334" spans="1:11">
      <c r="A334" s="363" t="s">
        <v>1336</v>
      </c>
      <c r="B334" s="363" t="s">
        <v>2165</v>
      </c>
      <c r="C334" s="363">
        <v>228.6</v>
      </c>
      <c r="D334" s="363">
        <v>228.6</v>
      </c>
      <c r="E334" s="363">
        <v>228.6</v>
      </c>
      <c r="F334" s="363">
        <v>228.6</v>
      </c>
      <c r="G334" s="17">
        <f t="shared" si="54"/>
        <v>11.946169656</v>
      </c>
      <c r="K334" s="59"/>
    </row>
    <row r="335" spans="1:11">
      <c r="A335" s="434" t="s">
        <v>1356</v>
      </c>
      <c r="B335" s="434" t="s">
        <v>2165</v>
      </c>
      <c r="C335" s="434">
        <v>304.8</v>
      </c>
      <c r="D335" s="434">
        <v>100</v>
      </c>
      <c r="E335" s="434">
        <v>76.2</v>
      </c>
      <c r="F335" s="434">
        <v>76.2</v>
      </c>
      <c r="G335" s="17">
        <f t="shared" si="54"/>
        <v>2.3225760000000002</v>
      </c>
      <c r="K335" s="59"/>
    </row>
    <row r="336" spans="1:11">
      <c r="A336" s="434" t="s">
        <v>1372</v>
      </c>
      <c r="B336" s="434" t="s">
        <v>2165</v>
      </c>
      <c r="C336" s="434">
        <v>304.8</v>
      </c>
      <c r="D336" s="434">
        <v>101.6</v>
      </c>
      <c r="E336" s="434">
        <v>76.2</v>
      </c>
      <c r="F336" s="434">
        <v>76.2</v>
      </c>
      <c r="G336" s="17">
        <f t="shared" si="54"/>
        <v>2.3597372160000001</v>
      </c>
      <c r="K336" s="59"/>
    </row>
    <row r="337" spans="1:11">
      <c r="A337" s="434" t="s">
        <v>1377</v>
      </c>
      <c r="B337" s="434" t="s">
        <v>2165</v>
      </c>
      <c r="C337" s="434">
        <v>304.8</v>
      </c>
      <c r="D337" s="434">
        <v>114.3</v>
      </c>
      <c r="E337" s="434">
        <v>25.4</v>
      </c>
      <c r="F337" s="434">
        <v>25.4</v>
      </c>
      <c r="G337" s="17">
        <f t="shared" si="54"/>
        <v>0.88490145599999992</v>
      </c>
      <c r="K337" s="59"/>
    </row>
    <row r="338" spans="1:11">
      <c r="A338" s="434" t="s">
        <v>1422</v>
      </c>
      <c r="B338" s="434" t="s">
        <v>2165</v>
      </c>
      <c r="C338" s="434">
        <v>304.8</v>
      </c>
      <c r="D338" s="434">
        <v>114.3</v>
      </c>
      <c r="E338" s="434">
        <v>31.8</v>
      </c>
      <c r="F338" s="434">
        <v>31.8</v>
      </c>
      <c r="G338" s="17">
        <f t="shared" si="54"/>
        <v>1.1078687520000001</v>
      </c>
      <c r="K338" s="59"/>
    </row>
    <row r="339" spans="1:11">
      <c r="A339" s="434" t="s">
        <v>1422</v>
      </c>
      <c r="B339" s="434" t="s">
        <v>2165</v>
      </c>
      <c r="C339" s="434">
        <v>304.8</v>
      </c>
      <c r="D339" s="434">
        <v>114.3</v>
      </c>
      <c r="E339" s="434">
        <v>38.1</v>
      </c>
      <c r="F339" s="434">
        <v>38.1</v>
      </c>
      <c r="G339" s="17">
        <f t="shared" si="54"/>
        <v>1.3273521840000002</v>
      </c>
      <c r="K339" s="59"/>
    </row>
    <row r="340" spans="1:11">
      <c r="A340" s="434" t="s">
        <v>1365</v>
      </c>
      <c r="B340" s="434" t="s">
        <v>2165</v>
      </c>
      <c r="C340" s="434">
        <v>304.8</v>
      </c>
      <c r="D340" s="434">
        <v>114.3</v>
      </c>
      <c r="E340" s="434">
        <v>50.8</v>
      </c>
      <c r="F340" s="434">
        <v>50.8</v>
      </c>
      <c r="G340" s="17">
        <f t="shared" si="54"/>
        <v>1.7698029119999998</v>
      </c>
      <c r="K340" s="59"/>
    </row>
    <row r="341" spans="1:11">
      <c r="A341" s="434" t="s">
        <v>1386</v>
      </c>
      <c r="B341" s="434" t="s">
        <v>2165</v>
      </c>
      <c r="C341" s="434">
        <v>304.8</v>
      </c>
      <c r="D341" s="434">
        <v>114.3</v>
      </c>
      <c r="E341" s="434">
        <v>63.5</v>
      </c>
      <c r="F341" s="434">
        <v>63.5</v>
      </c>
      <c r="G341" s="17">
        <f t="shared" si="54"/>
        <v>2.2122536400000001</v>
      </c>
      <c r="K341" s="59"/>
    </row>
    <row r="342" spans="1:11">
      <c r="A342" s="434" t="s">
        <v>1357</v>
      </c>
      <c r="B342" s="434" t="s">
        <v>2165</v>
      </c>
      <c r="C342" s="434">
        <v>304.8</v>
      </c>
      <c r="D342" s="434">
        <v>114.3</v>
      </c>
      <c r="E342" s="434">
        <v>76.2</v>
      </c>
      <c r="F342" s="434">
        <v>76.2</v>
      </c>
      <c r="G342" s="17">
        <f t="shared" si="54"/>
        <v>2.6547043680000004</v>
      </c>
      <c r="K342" s="59"/>
    </row>
    <row r="343" spans="1:11">
      <c r="A343" s="434" t="s">
        <v>1366</v>
      </c>
      <c r="B343" s="434" t="s">
        <v>2165</v>
      </c>
      <c r="C343" s="434">
        <v>304.8</v>
      </c>
      <c r="D343" s="434">
        <v>114.3</v>
      </c>
      <c r="E343" s="434">
        <v>101.6</v>
      </c>
      <c r="F343" s="434">
        <v>101.6</v>
      </c>
      <c r="G343" s="17">
        <f t="shared" si="54"/>
        <v>3.5396058239999997</v>
      </c>
      <c r="K343" s="59"/>
    </row>
    <row r="344" spans="1:11">
      <c r="A344" s="434" t="s">
        <v>1423</v>
      </c>
      <c r="B344" s="434" t="s">
        <v>2165</v>
      </c>
      <c r="C344" s="434">
        <v>304.8</v>
      </c>
      <c r="D344" s="434">
        <v>114.3</v>
      </c>
      <c r="E344" s="434">
        <v>114.3</v>
      </c>
      <c r="F344" s="434">
        <v>114.3</v>
      </c>
      <c r="G344" s="17">
        <f t="shared" si="54"/>
        <v>3.9820565519999995</v>
      </c>
      <c r="K344" s="59"/>
    </row>
    <row r="345" spans="1:11">
      <c r="A345" s="434" t="s">
        <v>1381</v>
      </c>
      <c r="B345" s="434" t="s">
        <v>2165</v>
      </c>
      <c r="C345" s="434">
        <v>304.8</v>
      </c>
      <c r="D345" s="434">
        <v>127</v>
      </c>
      <c r="E345" s="434">
        <v>101.6</v>
      </c>
      <c r="F345" s="434">
        <v>101.6</v>
      </c>
      <c r="G345" s="17">
        <f t="shared" si="54"/>
        <v>3.9328953599999994</v>
      </c>
      <c r="K345" s="59"/>
    </row>
    <row r="346" spans="1:11">
      <c r="A346" s="434" t="s">
        <v>1345</v>
      </c>
      <c r="B346" s="434" t="s">
        <v>2165</v>
      </c>
      <c r="C346" s="434">
        <v>304.8</v>
      </c>
      <c r="D346" s="434">
        <v>152.4</v>
      </c>
      <c r="E346" s="434">
        <v>25.4</v>
      </c>
      <c r="F346" s="434">
        <v>25.4</v>
      </c>
      <c r="G346" s="17">
        <f t="shared" si="54"/>
        <v>1.179868608</v>
      </c>
      <c r="K346" s="59"/>
    </row>
    <row r="347" spans="1:11">
      <c r="A347" s="434" t="s">
        <v>1373</v>
      </c>
      <c r="B347" s="434" t="s">
        <v>2165</v>
      </c>
      <c r="C347" s="434">
        <v>304.8</v>
      </c>
      <c r="D347" s="434">
        <v>152.4</v>
      </c>
      <c r="E347" s="434">
        <v>31.8</v>
      </c>
      <c r="F347" s="434">
        <v>31.8</v>
      </c>
      <c r="G347" s="17">
        <f t="shared" si="54"/>
        <v>1.477158336</v>
      </c>
      <c r="K347" s="59"/>
    </row>
    <row r="348" spans="1:11">
      <c r="A348" s="434" t="s">
        <v>1346</v>
      </c>
      <c r="B348" s="434" t="s">
        <v>2165</v>
      </c>
      <c r="C348" s="434">
        <v>304.8</v>
      </c>
      <c r="D348" s="434">
        <v>152.4</v>
      </c>
      <c r="E348" s="434">
        <v>38.1</v>
      </c>
      <c r="F348" s="434">
        <v>38.1</v>
      </c>
      <c r="G348" s="17">
        <f t="shared" si="54"/>
        <v>1.7698029120000003</v>
      </c>
      <c r="K348" s="59"/>
    </row>
    <row r="349" spans="1:11">
      <c r="A349" s="434" t="s">
        <v>1360</v>
      </c>
      <c r="B349" s="434" t="s">
        <v>2165</v>
      </c>
      <c r="C349" s="434">
        <v>304.8</v>
      </c>
      <c r="D349" s="434">
        <v>152.4</v>
      </c>
      <c r="E349" s="434">
        <v>50.8</v>
      </c>
      <c r="F349" s="434">
        <v>50.8</v>
      </c>
      <c r="G349" s="17">
        <f t="shared" si="54"/>
        <v>2.3597372160000001</v>
      </c>
      <c r="K349" s="59"/>
    </row>
    <row r="350" spans="1:11">
      <c r="A350" s="434" t="s">
        <v>1361</v>
      </c>
      <c r="B350" s="434" t="s">
        <v>2165</v>
      </c>
      <c r="C350" s="434">
        <v>304.8</v>
      </c>
      <c r="D350" s="434">
        <v>152.4</v>
      </c>
      <c r="E350" s="434">
        <v>63.5</v>
      </c>
      <c r="F350" s="434">
        <v>63.5</v>
      </c>
      <c r="G350" s="17">
        <f t="shared" si="54"/>
        <v>2.9496715200000003</v>
      </c>
      <c r="K350" s="59"/>
    </row>
    <row r="351" spans="1:11">
      <c r="A351" s="434" t="s">
        <v>1358</v>
      </c>
      <c r="B351" s="434" t="s">
        <v>2165</v>
      </c>
      <c r="C351" s="434">
        <v>304.8</v>
      </c>
      <c r="D351" s="434">
        <v>152.4</v>
      </c>
      <c r="E351" s="434">
        <v>76.2</v>
      </c>
      <c r="F351" s="434">
        <v>76.2</v>
      </c>
      <c r="G351" s="17">
        <f t="shared" si="54"/>
        <v>3.5396058240000006</v>
      </c>
      <c r="K351" s="59"/>
    </row>
    <row r="352" spans="1:11">
      <c r="A352" s="434" t="s">
        <v>1344</v>
      </c>
      <c r="B352" s="434" t="s">
        <v>2165</v>
      </c>
      <c r="C352" s="434">
        <v>304.8</v>
      </c>
      <c r="D352" s="434">
        <v>152.4</v>
      </c>
      <c r="E352" s="434">
        <v>100</v>
      </c>
      <c r="F352" s="434">
        <v>100</v>
      </c>
      <c r="G352" s="17">
        <f t="shared" si="54"/>
        <v>4.6451520000000004</v>
      </c>
      <c r="K352" s="59"/>
    </row>
    <row r="353" spans="1:11">
      <c r="A353" s="434" t="s">
        <v>1353</v>
      </c>
      <c r="B353" s="434" t="s">
        <v>2165</v>
      </c>
      <c r="C353" s="434">
        <v>304.8</v>
      </c>
      <c r="D353" s="434">
        <v>152.4</v>
      </c>
      <c r="E353" s="434">
        <v>101.6</v>
      </c>
      <c r="F353" s="434">
        <v>101.6</v>
      </c>
      <c r="G353" s="17">
        <f t="shared" si="54"/>
        <v>4.7194744320000002</v>
      </c>
      <c r="K353" s="59"/>
    </row>
    <row r="354" spans="1:11">
      <c r="A354" s="434" t="s">
        <v>1347</v>
      </c>
      <c r="B354" s="434" t="s">
        <v>2165</v>
      </c>
      <c r="C354" s="434">
        <v>304.8</v>
      </c>
      <c r="D354" s="434">
        <v>152.4</v>
      </c>
      <c r="E354" s="434">
        <v>114.3</v>
      </c>
      <c r="F354" s="434">
        <v>114.3</v>
      </c>
      <c r="G354" s="17">
        <f t="shared" si="54"/>
        <v>5.3094087360000009</v>
      </c>
      <c r="K354" s="59"/>
    </row>
    <row r="355" spans="1:11">
      <c r="A355" s="434" t="s">
        <v>1374</v>
      </c>
      <c r="B355" s="434" t="s">
        <v>2165</v>
      </c>
      <c r="C355" s="434">
        <v>304.8</v>
      </c>
      <c r="D355" s="434">
        <v>152.4</v>
      </c>
      <c r="E355" s="434">
        <v>127</v>
      </c>
      <c r="F355" s="434">
        <v>127</v>
      </c>
      <c r="G355" s="17">
        <f t="shared" si="54"/>
        <v>5.8993430400000006</v>
      </c>
      <c r="K355" s="59"/>
    </row>
    <row r="356" spans="1:11">
      <c r="A356" s="434" t="s">
        <v>1354</v>
      </c>
      <c r="B356" s="434" t="s">
        <v>2165</v>
      </c>
      <c r="C356" s="434">
        <v>304.8</v>
      </c>
      <c r="D356" s="434">
        <v>203.2</v>
      </c>
      <c r="E356" s="434">
        <v>76.2</v>
      </c>
      <c r="F356" s="434">
        <v>76.2</v>
      </c>
      <c r="G356" s="17">
        <f t="shared" si="54"/>
        <v>4.7194744320000002</v>
      </c>
      <c r="K356" s="59"/>
    </row>
    <row r="357" spans="1:11">
      <c r="A357" s="434" t="s">
        <v>1371</v>
      </c>
      <c r="B357" s="434" t="s">
        <v>2165</v>
      </c>
      <c r="C357" s="434">
        <v>304.8</v>
      </c>
      <c r="D357" s="434">
        <v>203.2</v>
      </c>
      <c r="E357" s="434">
        <v>101.6</v>
      </c>
      <c r="F357" s="434">
        <v>101.6</v>
      </c>
      <c r="G357" s="17">
        <f t="shared" si="54"/>
        <v>6.292632575999999</v>
      </c>
      <c r="K357" s="59"/>
    </row>
    <row r="358" spans="1:11">
      <c r="A358" s="434" t="s">
        <v>1382</v>
      </c>
      <c r="B358" s="434" t="s">
        <v>2165</v>
      </c>
      <c r="C358" s="434">
        <v>304.8</v>
      </c>
      <c r="D358" s="434">
        <v>228.6</v>
      </c>
      <c r="E358" s="434">
        <v>25.4</v>
      </c>
      <c r="F358" s="434">
        <v>25.4</v>
      </c>
      <c r="G358" s="17">
        <f t="shared" si="54"/>
        <v>1.7698029119999998</v>
      </c>
      <c r="K358" s="59"/>
    </row>
    <row r="359" spans="1:11">
      <c r="A359" s="434" t="s">
        <v>1375</v>
      </c>
      <c r="B359" s="434" t="s">
        <v>2165</v>
      </c>
      <c r="C359" s="434">
        <v>304.8</v>
      </c>
      <c r="D359" s="434">
        <v>228.6</v>
      </c>
      <c r="E359" s="434">
        <v>31.8</v>
      </c>
      <c r="F359" s="434">
        <v>31.8</v>
      </c>
      <c r="G359" s="17">
        <f t="shared" si="54"/>
        <v>2.2157375040000002</v>
      </c>
      <c r="K359" s="59"/>
    </row>
    <row r="360" spans="1:11">
      <c r="A360" s="434" t="s">
        <v>1364</v>
      </c>
      <c r="B360" s="434" t="s">
        <v>2165</v>
      </c>
      <c r="C360" s="434">
        <v>304.8</v>
      </c>
      <c r="D360" s="434">
        <v>228.6</v>
      </c>
      <c r="E360" s="434">
        <v>38.1</v>
      </c>
      <c r="F360" s="434">
        <v>38.1</v>
      </c>
      <c r="G360" s="17">
        <f t="shared" si="54"/>
        <v>2.6547043680000004</v>
      </c>
      <c r="K360" s="59"/>
    </row>
    <row r="361" spans="1:11">
      <c r="A361" s="434" t="s">
        <v>1348</v>
      </c>
      <c r="B361" s="434" t="s">
        <v>2165</v>
      </c>
      <c r="C361" s="434">
        <v>304.8</v>
      </c>
      <c r="D361" s="434">
        <v>228.6</v>
      </c>
      <c r="E361" s="434">
        <v>50.8</v>
      </c>
      <c r="F361" s="434">
        <v>50.8</v>
      </c>
      <c r="G361" s="17">
        <f t="shared" si="54"/>
        <v>3.5396058239999997</v>
      </c>
      <c r="K361" s="59"/>
    </row>
    <row r="362" spans="1:11">
      <c r="A362" s="434" t="s">
        <v>1349</v>
      </c>
      <c r="B362" s="434" t="s">
        <v>2165</v>
      </c>
      <c r="C362" s="434">
        <v>304.8</v>
      </c>
      <c r="D362" s="434">
        <v>228.6</v>
      </c>
      <c r="E362" s="434">
        <v>63.5</v>
      </c>
      <c r="F362" s="434">
        <v>63.5</v>
      </c>
      <c r="G362" s="17">
        <f t="shared" si="54"/>
        <v>4.4245072800000003</v>
      </c>
      <c r="K362" s="59"/>
    </row>
    <row r="363" spans="1:11">
      <c r="A363" s="434" t="s">
        <v>1359</v>
      </c>
      <c r="B363" s="434" t="s">
        <v>2165</v>
      </c>
      <c r="C363" s="434">
        <v>304.8</v>
      </c>
      <c r="D363" s="434">
        <v>228.6</v>
      </c>
      <c r="E363" s="434">
        <v>76.2</v>
      </c>
      <c r="F363" s="434">
        <v>76.2</v>
      </c>
      <c r="G363" s="17">
        <f t="shared" si="54"/>
        <v>5.3094087360000009</v>
      </c>
      <c r="K363" s="59"/>
    </row>
    <row r="364" spans="1:11">
      <c r="A364" s="434" t="s">
        <v>1350</v>
      </c>
      <c r="B364" s="434" t="s">
        <v>2165</v>
      </c>
      <c r="C364" s="434">
        <v>304.8</v>
      </c>
      <c r="D364" s="434">
        <v>228.6</v>
      </c>
      <c r="E364" s="434">
        <v>100</v>
      </c>
      <c r="F364" s="434">
        <v>100</v>
      </c>
      <c r="G364" s="17">
        <f t="shared" si="54"/>
        <v>6.9677280000000001</v>
      </c>
      <c r="K364" s="59"/>
    </row>
    <row r="365" spans="1:11">
      <c r="A365" s="434" t="s">
        <v>1355</v>
      </c>
      <c r="B365" s="434" t="s">
        <v>2165</v>
      </c>
      <c r="C365" s="434">
        <v>304.8</v>
      </c>
      <c r="D365" s="434">
        <v>228.6</v>
      </c>
      <c r="E365" s="434">
        <v>101.6</v>
      </c>
      <c r="F365" s="434">
        <v>101.6</v>
      </c>
      <c r="G365" s="17">
        <f t="shared" si="54"/>
        <v>7.0792116479999994</v>
      </c>
      <c r="K365" s="59"/>
    </row>
    <row r="366" spans="1:11">
      <c r="A366" s="434" t="s">
        <v>1351</v>
      </c>
      <c r="B366" s="434" t="s">
        <v>2165</v>
      </c>
      <c r="C366" s="434">
        <v>304.8</v>
      </c>
      <c r="D366" s="434">
        <v>228.6</v>
      </c>
      <c r="E366" s="434">
        <v>114.3</v>
      </c>
      <c r="F366" s="434">
        <v>114.3</v>
      </c>
      <c r="G366" s="17">
        <f t="shared" si="54"/>
        <v>7.9641131039999991</v>
      </c>
      <c r="K366" s="59"/>
    </row>
    <row r="367" spans="1:11">
      <c r="A367" s="434" t="s">
        <v>1383</v>
      </c>
      <c r="B367" s="434" t="s">
        <v>2165</v>
      </c>
      <c r="C367" s="434">
        <v>304.8</v>
      </c>
      <c r="D367" s="434">
        <v>228.6</v>
      </c>
      <c r="E367" s="434">
        <v>127</v>
      </c>
      <c r="F367" s="434">
        <v>127</v>
      </c>
      <c r="G367" s="17">
        <f t="shared" si="54"/>
        <v>8.8490145600000005</v>
      </c>
      <c r="K367" s="59"/>
    </row>
    <row r="368" spans="1:11">
      <c r="A368" s="434" t="s">
        <v>1370</v>
      </c>
      <c r="B368" s="434" t="s">
        <v>2165</v>
      </c>
      <c r="C368" s="434">
        <v>304.8</v>
      </c>
      <c r="D368" s="434">
        <v>228.6</v>
      </c>
      <c r="E368" s="434">
        <v>152.4</v>
      </c>
      <c r="F368" s="434">
        <v>152.4</v>
      </c>
      <c r="G368" s="17">
        <f t="shared" si="54"/>
        <v>10.618817472000002</v>
      </c>
      <c r="K368" s="59"/>
    </row>
    <row r="369" spans="1:11">
      <c r="A369" s="434" t="s">
        <v>1380</v>
      </c>
      <c r="B369" s="434" t="s">
        <v>2165</v>
      </c>
      <c r="C369" s="434">
        <v>304.8</v>
      </c>
      <c r="D369" s="434">
        <v>228.6</v>
      </c>
      <c r="E369" s="434">
        <v>203.2</v>
      </c>
      <c r="F369" s="434">
        <v>203.2</v>
      </c>
      <c r="G369" s="17">
        <f t="shared" si="54"/>
        <v>14.158423295999999</v>
      </c>
      <c r="K369" s="59"/>
    </row>
    <row r="370" spans="1:11">
      <c r="A370" s="434" t="s">
        <v>1362</v>
      </c>
      <c r="B370" s="434" t="s">
        <v>2165</v>
      </c>
      <c r="C370" s="434">
        <v>304.8</v>
      </c>
      <c r="D370" s="434">
        <v>304.8</v>
      </c>
      <c r="E370" s="434">
        <v>25.4</v>
      </c>
      <c r="F370" s="434">
        <v>25.4</v>
      </c>
      <c r="G370" s="17">
        <f t="shared" si="54"/>
        <v>2.3597372160000001</v>
      </c>
      <c r="K370" s="59"/>
    </row>
    <row r="371" spans="1:11">
      <c r="A371" s="434" t="s">
        <v>1378</v>
      </c>
      <c r="B371" s="434" t="s">
        <v>2165</v>
      </c>
      <c r="C371" s="434">
        <v>304.8</v>
      </c>
      <c r="D371" s="434">
        <v>304.8</v>
      </c>
      <c r="E371" s="434">
        <v>31.8</v>
      </c>
      <c r="F371" s="434">
        <v>31.8</v>
      </c>
      <c r="G371" s="17">
        <f t="shared" si="54"/>
        <v>2.954316672</v>
      </c>
      <c r="K371" s="59"/>
    </row>
    <row r="372" spans="1:11">
      <c r="A372" s="434" t="s">
        <v>1379</v>
      </c>
      <c r="B372" s="434" t="s">
        <v>2165</v>
      </c>
      <c r="C372" s="434">
        <v>304.8</v>
      </c>
      <c r="D372" s="434">
        <v>304.8</v>
      </c>
      <c r="E372" s="434">
        <v>38.1</v>
      </c>
      <c r="F372" s="434">
        <v>38.1</v>
      </c>
      <c r="G372" s="17">
        <f t="shared" si="54"/>
        <v>3.5396058240000006</v>
      </c>
      <c r="K372" s="59"/>
    </row>
    <row r="373" spans="1:11">
      <c r="A373" s="434" t="s">
        <v>1352</v>
      </c>
      <c r="B373" s="434" t="s">
        <v>2165</v>
      </c>
      <c r="C373" s="434">
        <v>304.8</v>
      </c>
      <c r="D373" s="434">
        <v>304.8</v>
      </c>
      <c r="E373" s="434">
        <v>50.8</v>
      </c>
      <c r="F373" s="434">
        <v>50.8</v>
      </c>
      <c r="G373" s="17">
        <f t="shared" si="54"/>
        <v>4.7194744320000002</v>
      </c>
      <c r="K373" s="59"/>
    </row>
    <row r="374" spans="1:11">
      <c r="A374" s="434" t="s">
        <v>1385</v>
      </c>
      <c r="B374" s="434" t="s">
        <v>2165</v>
      </c>
      <c r="C374" s="434">
        <v>304.8</v>
      </c>
      <c r="D374" s="434">
        <v>304.8</v>
      </c>
      <c r="E374" s="434">
        <v>63.5</v>
      </c>
      <c r="F374" s="434">
        <v>63.5</v>
      </c>
      <c r="G374" s="17">
        <f t="shared" si="54"/>
        <v>5.8993430400000006</v>
      </c>
      <c r="K374" s="59"/>
    </row>
    <row r="375" spans="1:11">
      <c r="A375" s="434" t="s">
        <v>1363</v>
      </c>
      <c r="B375" s="434" t="s">
        <v>2165</v>
      </c>
      <c r="C375" s="434">
        <v>304.8</v>
      </c>
      <c r="D375" s="434">
        <v>304.8</v>
      </c>
      <c r="E375" s="434">
        <v>76.2</v>
      </c>
      <c r="F375" s="434">
        <v>76.2</v>
      </c>
      <c r="G375" s="17">
        <f t="shared" si="54"/>
        <v>7.0792116480000011</v>
      </c>
      <c r="K375" s="59"/>
    </row>
    <row r="376" spans="1:11">
      <c r="A376" s="434" t="s">
        <v>1384</v>
      </c>
      <c r="B376" s="434" t="s">
        <v>2165</v>
      </c>
      <c r="C376" s="434">
        <v>304.8</v>
      </c>
      <c r="D376" s="434">
        <v>304.8</v>
      </c>
      <c r="E376" s="434">
        <v>100</v>
      </c>
      <c r="F376" s="434">
        <v>100</v>
      </c>
      <c r="G376" s="17">
        <f t="shared" si="54"/>
        <v>9.2903040000000008</v>
      </c>
      <c r="K376" s="59"/>
    </row>
    <row r="377" spans="1:11">
      <c r="A377" s="434" t="s">
        <v>1369</v>
      </c>
      <c r="B377" s="434" t="s">
        <v>2165</v>
      </c>
      <c r="C377" s="434">
        <v>304.8</v>
      </c>
      <c r="D377" s="434">
        <v>304.8</v>
      </c>
      <c r="E377" s="434">
        <v>101.6</v>
      </c>
      <c r="F377" s="434">
        <v>101.6</v>
      </c>
      <c r="G377" s="17">
        <f t="shared" si="54"/>
        <v>9.4389488640000003</v>
      </c>
      <c r="K377" s="59"/>
    </row>
    <row r="378" spans="1:11">
      <c r="A378" s="434" t="s">
        <v>1376</v>
      </c>
      <c r="B378" s="434" t="s">
        <v>2165</v>
      </c>
      <c r="C378" s="434">
        <v>304.8</v>
      </c>
      <c r="D378" s="434">
        <v>304.8</v>
      </c>
      <c r="E378" s="434">
        <v>114.3</v>
      </c>
      <c r="F378" s="434">
        <v>114.3</v>
      </c>
      <c r="G378" s="17">
        <f t="shared" si="54"/>
        <v>10.618817472000002</v>
      </c>
      <c r="K378" s="59"/>
    </row>
    <row r="379" spans="1:11">
      <c r="A379" s="434" t="s">
        <v>1368</v>
      </c>
      <c r="B379" s="434" t="s">
        <v>2165</v>
      </c>
      <c r="C379" s="434">
        <v>304.8</v>
      </c>
      <c r="D379" s="434">
        <v>304.8</v>
      </c>
      <c r="E379" s="434">
        <v>127</v>
      </c>
      <c r="F379" s="434">
        <v>127</v>
      </c>
      <c r="G379" s="17">
        <f t="shared" si="54"/>
        <v>11.798686080000001</v>
      </c>
      <c r="K379" s="59"/>
    </row>
    <row r="380" spans="1:11">
      <c r="A380" s="434" t="s">
        <v>1367</v>
      </c>
      <c r="B380" s="434" t="s">
        <v>2165</v>
      </c>
      <c r="C380" s="434">
        <v>304.8</v>
      </c>
      <c r="D380" s="434">
        <v>304.8</v>
      </c>
      <c r="E380" s="434">
        <v>152.4</v>
      </c>
      <c r="F380" s="434">
        <v>152.4</v>
      </c>
      <c r="G380" s="17">
        <f t="shared" si="54"/>
        <v>14.158423296000002</v>
      </c>
      <c r="K380" s="59"/>
    </row>
    <row r="381" spans="1:11">
      <c r="A381" s="436" t="s">
        <v>1387</v>
      </c>
      <c r="B381" s="436" t="s">
        <v>2165</v>
      </c>
      <c r="C381" s="436">
        <v>381</v>
      </c>
      <c r="D381" s="436">
        <v>76.2</v>
      </c>
      <c r="E381" s="436">
        <v>76.2</v>
      </c>
      <c r="F381" s="436">
        <v>76.2</v>
      </c>
      <c r="G381" s="17">
        <f t="shared" si="54"/>
        <v>2.2122536400000001</v>
      </c>
      <c r="K381" s="59"/>
    </row>
    <row r="382" spans="1:11">
      <c r="A382" s="436" t="s">
        <v>1393</v>
      </c>
      <c r="B382" s="436" t="s">
        <v>2165</v>
      </c>
      <c r="C382" s="436">
        <v>381</v>
      </c>
      <c r="D382" s="436">
        <v>100</v>
      </c>
      <c r="E382" s="436">
        <v>76.2</v>
      </c>
      <c r="F382" s="436">
        <v>76.2</v>
      </c>
      <c r="G382" s="17">
        <f t="shared" si="54"/>
        <v>2.9032200000000001</v>
      </c>
      <c r="K382" s="59"/>
    </row>
    <row r="383" spans="1:11">
      <c r="A383" s="436" t="s">
        <v>1402</v>
      </c>
      <c r="B383" s="436" t="s">
        <v>2165</v>
      </c>
      <c r="C383" s="436">
        <v>381</v>
      </c>
      <c r="D383" s="436">
        <v>101.6</v>
      </c>
      <c r="E383" s="436">
        <v>101.6</v>
      </c>
      <c r="F383" s="436">
        <v>101.6</v>
      </c>
      <c r="G383" s="17">
        <f t="shared" si="54"/>
        <v>3.9328953599999994</v>
      </c>
      <c r="K383" s="59"/>
    </row>
    <row r="384" spans="1:11">
      <c r="A384" s="436" t="s">
        <v>1415</v>
      </c>
      <c r="B384" s="436" t="s">
        <v>2165</v>
      </c>
      <c r="C384" s="436">
        <v>381</v>
      </c>
      <c r="D384" s="436">
        <v>114.3</v>
      </c>
      <c r="E384" s="436">
        <v>25.4</v>
      </c>
      <c r="F384" s="436">
        <v>25.4</v>
      </c>
      <c r="G384" s="17">
        <f t="shared" si="54"/>
        <v>1.1061268199999998</v>
      </c>
      <c r="K384" s="59"/>
    </row>
    <row r="385" spans="1:11">
      <c r="A385" s="436" t="s">
        <v>1421</v>
      </c>
      <c r="B385" s="436" t="s">
        <v>2165</v>
      </c>
      <c r="C385" s="436">
        <v>381</v>
      </c>
      <c r="D385" s="436">
        <v>114.3</v>
      </c>
      <c r="E385" s="436">
        <v>63.5</v>
      </c>
      <c r="F385" s="436">
        <v>63.5</v>
      </c>
      <c r="G385" s="17">
        <f t="shared" si="54"/>
        <v>2.7653170499999997</v>
      </c>
      <c r="K385" s="59"/>
    </row>
    <row r="386" spans="1:11">
      <c r="A386" s="436" t="s">
        <v>1396</v>
      </c>
      <c r="B386" s="436" t="s">
        <v>2165</v>
      </c>
      <c r="C386" s="436">
        <v>381</v>
      </c>
      <c r="D386" s="436">
        <v>114.3</v>
      </c>
      <c r="E386" s="436">
        <v>76.2</v>
      </c>
      <c r="F386" s="436">
        <v>76.2</v>
      </c>
      <c r="G386" s="17">
        <f t="shared" si="54"/>
        <v>3.3183804599999998</v>
      </c>
      <c r="K386" s="59"/>
    </row>
    <row r="387" spans="1:11">
      <c r="A387" s="436" t="s">
        <v>1424</v>
      </c>
      <c r="B387" s="436" t="s">
        <v>2165</v>
      </c>
      <c r="C387" s="436">
        <v>381</v>
      </c>
      <c r="D387" s="436">
        <v>114.3</v>
      </c>
      <c r="E387" s="436">
        <v>114.3</v>
      </c>
      <c r="F387" s="436">
        <v>114.3</v>
      </c>
      <c r="G387" s="17">
        <f t="shared" si="54"/>
        <v>4.9775706899999994</v>
      </c>
      <c r="K387" s="59"/>
    </row>
    <row r="388" spans="1:11">
      <c r="A388" s="436" t="s">
        <v>1419</v>
      </c>
      <c r="B388" s="436" t="s">
        <v>2165</v>
      </c>
      <c r="C388" s="436">
        <v>381</v>
      </c>
      <c r="D388" s="436">
        <v>127</v>
      </c>
      <c r="E388" s="436">
        <v>76.2</v>
      </c>
      <c r="F388" s="436">
        <v>76.2</v>
      </c>
      <c r="G388" s="17">
        <f t="shared" si="54"/>
        <v>3.6870894000000001</v>
      </c>
      <c r="K388" s="59"/>
    </row>
    <row r="389" spans="1:11">
      <c r="A389" s="436" t="s">
        <v>1395</v>
      </c>
      <c r="B389" s="436" t="s">
        <v>2165</v>
      </c>
      <c r="C389" s="436">
        <v>381</v>
      </c>
      <c r="D389" s="436">
        <v>152.4</v>
      </c>
      <c r="E389" s="436">
        <v>31.8</v>
      </c>
      <c r="F389" s="436">
        <v>31.8</v>
      </c>
      <c r="G389" s="17">
        <f t="shared" si="54"/>
        <v>1.8464479200000001</v>
      </c>
      <c r="K389" s="59"/>
    </row>
    <row r="390" spans="1:11">
      <c r="A390" s="436" t="s">
        <v>1388</v>
      </c>
      <c r="B390" s="436" t="s">
        <v>2165</v>
      </c>
      <c r="C390" s="436">
        <v>381</v>
      </c>
      <c r="D390" s="436">
        <v>152.4</v>
      </c>
      <c r="E390" s="436">
        <v>38.1</v>
      </c>
      <c r="F390" s="436">
        <v>38.1</v>
      </c>
      <c r="G390" s="17">
        <f t="shared" si="54"/>
        <v>2.2122536400000001</v>
      </c>
      <c r="K390" s="59"/>
    </row>
    <row r="391" spans="1:11">
      <c r="A391" s="436" t="s">
        <v>1389</v>
      </c>
      <c r="B391" s="436" t="s">
        <v>2165</v>
      </c>
      <c r="C391" s="436">
        <v>381</v>
      </c>
      <c r="D391" s="436">
        <v>152.4</v>
      </c>
      <c r="E391" s="436">
        <v>50.8</v>
      </c>
      <c r="F391" s="436">
        <v>50.8</v>
      </c>
      <c r="G391" s="17">
        <f t="shared" ref="G391:G454" si="55">C391*D391*E391/10^6</f>
        <v>2.9496715199999999</v>
      </c>
      <c r="K391" s="59"/>
    </row>
    <row r="392" spans="1:11">
      <c r="A392" s="436" t="s">
        <v>1390</v>
      </c>
      <c r="B392" s="436" t="s">
        <v>2165</v>
      </c>
      <c r="C392" s="436">
        <v>381</v>
      </c>
      <c r="D392" s="436">
        <v>152.4</v>
      </c>
      <c r="E392" s="436">
        <v>63.5</v>
      </c>
      <c r="F392" s="436">
        <v>63.5</v>
      </c>
      <c r="G392" s="17">
        <f t="shared" si="55"/>
        <v>3.6870894000000001</v>
      </c>
      <c r="K392" s="59"/>
    </row>
    <row r="393" spans="1:11">
      <c r="A393" s="436" t="s">
        <v>1397</v>
      </c>
      <c r="B393" s="436" t="s">
        <v>2165</v>
      </c>
      <c r="C393" s="436">
        <v>381</v>
      </c>
      <c r="D393" s="436">
        <v>152.4</v>
      </c>
      <c r="E393" s="436">
        <v>76.2</v>
      </c>
      <c r="F393" s="436">
        <v>76.2</v>
      </c>
      <c r="G393" s="17">
        <f t="shared" si="55"/>
        <v>4.4245072800000003</v>
      </c>
      <c r="K393" s="59"/>
    </row>
    <row r="394" spans="1:11">
      <c r="A394" s="436" t="s">
        <v>1403</v>
      </c>
      <c r="B394" s="436" t="s">
        <v>2165</v>
      </c>
      <c r="C394" s="436">
        <v>381</v>
      </c>
      <c r="D394" s="436">
        <v>152.4</v>
      </c>
      <c r="E394" s="436">
        <v>100</v>
      </c>
      <c r="F394" s="436">
        <v>100</v>
      </c>
      <c r="G394" s="17">
        <f t="shared" si="55"/>
        <v>5.8064400000000003</v>
      </c>
      <c r="K394" s="59"/>
    </row>
    <row r="395" spans="1:11">
      <c r="A395" s="436" t="s">
        <v>1391</v>
      </c>
      <c r="B395" s="436" t="s">
        <v>2165</v>
      </c>
      <c r="C395" s="436">
        <v>381</v>
      </c>
      <c r="D395" s="436">
        <v>152.4</v>
      </c>
      <c r="E395" s="436">
        <v>101.6</v>
      </c>
      <c r="F395" s="436">
        <v>101.6</v>
      </c>
      <c r="G395" s="17">
        <f t="shared" si="55"/>
        <v>5.8993430399999998</v>
      </c>
      <c r="K395" s="59"/>
    </row>
    <row r="396" spans="1:11">
      <c r="A396" s="436" t="s">
        <v>1392</v>
      </c>
      <c r="B396" s="436" t="s">
        <v>2165</v>
      </c>
      <c r="C396" s="436">
        <v>381</v>
      </c>
      <c r="D396" s="436">
        <v>152.4</v>
      </c>
      <c r="E396" s="436">
        <v>114.3</v>
      </c>
      <c r="F396" s="436">
        <v>114.3</v>
      </c>
      <c r="G396" s="17">
        <f t="shared" si="55"/>
        <v>6.6367609199999995</v>
      </c>
      <c r="K396" s="59"/>
    </row>
    <row r="397" spans="1:11">
      <c r="A397" s="436" t="s">
        <v>1398</v>
      </c>
      <c r="B397" s="436" t="s">
        <v>2165</v>
      </c>
      <c r="C397" s="436">
        <v>381</v>
      </c>
      <c r="D397" s="436">
        <v>152.4</v>
      </c>
      <c r="E397" s="436">
        <v>152.4</v>
      </c>
      <c r="F397" s="436">
        <v>152.4</v>
      </c>
      <c r="G397" s="17">
        <f t="shared" si="55"/>
        <v>8.8490145600000005</v>
      </c>
      <c r="K397" s="59"/>
    </row>
    <row r="398" spans="1:11">
      <c r="A398" s="436" t="s">
        <v>1420</v>
      </c>
      <c r="B398" s="440" t="s">
        <v>2165</v>
      </c>
      <c r="C398" s="440">
        <v>381</v>
      </c>
      <c r="D398" s="441">
        <v>177.8</v>
      </c>
      <c r="E398" s="441">
        <v>76.2</v>
      </c>
      <c r="F398" s="441">
        <v>76.2</v>
      </c>
      <c r="G398" s="17">
        <f t="shared" si="55"/>
        <v>5.16192516</v>
      </c>
      <c r="K398" s="59"/>
    </row>
    <row r="399" spans="1:11">
      <c r="A399" s="436" t="s">
        <v>1394</v>
      </c>
      <c r="B399" s="436" t="s">
        <v>2165</v>
      </c>
      <c r="C399" s="436">
        <v>381</v>
      </c>
      <c r="D399" s="436">
        <v>203.2</v>
      </c>
      <c r="E399" s="436">
        <v>76.2</v>
      </c>
      <c r="F399" s="436">
        <v>76.2</v>
      </c>
      <c r="G399" s="17">
        <f t="shared" si="55"/>
        <v>5.8993430399999998</v>
      </c>
      <c r="K399" s="59"/>
    </row>
    <row r="400" spans="1:11">
      <c r="A400" s="436" t="s">
        <v>1399</v>
      </c>
      <c r="B400" s="436" t="s">
        <v>2165</v>
      </c>
      <c r="C400" s="436">
        <v>381</v>
      </c>
      <c r="D400" s="436">
        <v>203.2</v>
      </c>
      <c r="E400" s="436">
        <v>152.4</v>
      </c>
      <c r="F400" s="436">
        <v>152.4</v>
      </c>
      <c r="G400" s="17">
        <f t="shared" si="55"/>
        <v>11.79868608</v>
      </c>
      <c r="K400" s="59"/>
    </row>
    <row r="401" spans="1:11">
      <c r="A401" s="436" t="s">
        <v>1404</v>
      </c>
      <c r="B401" s="436" t="s">
        <v>2165</v>
      </c>
      <c r="C401" s="436">
        <v>381</v>
      </c>
      <c r="D401" s="436">
        <v>228.6</v>
      </c>
      <c r="E401" s="436">
        <v>50.8</v>
      </c>
      <c r="F401" s="436">
        <v>50.8</v>
      </c>
      <c r="G401" s="17">
        <f t="shared" si="55"/>
        <v>4.4245072799999994</v>
      </c>
      <c r="K401" s="59"/>
    </row>
    <row r="402" spans="1:11">
      <c r="A402" s="436" t="s">
        <v>1408</v>
      </c>
      <c r="B402" s="436" t="s">
        <v>2165</v>
      </c>
      <c r="C402" s="436">
        <v>381</v>
      </c>
      <c r="D402" s="436">
        <v>228.6</v>
      </c>
      <c r="E402" s="436">
        <v>63.5</v>
      </c>
      <c r="F402" s="436">
        <v>63.5</v>
      </c>
      <c r="G402" s="17">
        <f t="shared" si="55"/>
        <v>5.5306340999999994</v>
      </c>
      <c r="K402" s="59"/>
    </row>
    <row r="403" spans="1:11">
      <c r="A403" s="436" t="s">
        <v>1401</v>
      </c>
      <c r="B403" s="436" t="s">
        <v>2165</v>
      </c>
      <c r="C403" s="436">
        <v>381</v>
      </c>
      <c r="D403" s="436">
        <v>228.6</v>
      </c>
      <c r="E403" s="436">
        <v>76.2</v>
      </c>
      <c r="F403" s="436">
        <v>76.2</v>
      </c>
      <c r="G403" s="17">
        <f t="shared" si="55"/>
        <v>6.6367609199999995</v>
      </c>
      <c r="K403" s="59"/>
    </row>
    <row r="404" spans="1:11">
      <c r="A404" s="436" t="s">
        <v>1417</v>
      </c>
      <c r="B404" s="436" t="s">
        <v>2165</v>
      </c>
      <c r="C404" s="436">
        <v>381</v>
      </c>
      <c r="D404" s="436">
        <v>228.6</v>
      </c>
      <c r="E404" s="436">
        <v>100</v>
      </c>
      <c r="F404" s="436">
        <v>100</v>
      </c>
      <c r="G404" s="17">
        <f t="shared" si="55"/>
        <v>8.7096599999999995</v>
      </c>
      <c r="K404" s="59"/>
    </row>
    <row r="405" spans="1:11">
      <c r="A405" s="436" t="s">
        <v>1410</v>
      </c>
      <c r="B405" s="436" t="s">
        <v>2165</v>
      </c>
      <c r="C405" s="436">
        <v>381</v>
      </c>
      <c r="D405" s="436">
        <v>228.6</v>
      </c>
      <c r="E405" s="436">
        <v>101.6</v>
      </c>
      <c r="F405" s="436">
        <v>101.6</v>
      </c>
      <c r="G405" s="17">
        <f t="shared" si="55"/>
        <v>8.8490145599999988</v>
      </c>
      <c r="K405" s="59"/>
    </row>
    <row r="406" spans="1:11">
      <c r="A406" s="436" t="s">
        <v>1407</v>
      </c>
      <c r="B406" s="436" t="s">
        <v>2165</v>
      </c>
      <c r="C406" s="436">
        <v>381</v>
      </c>
      <c r="D406" s="436">
        <v>228.6</v>
      </c>
      <c r="E406" s="436">
        <v>114.3</v>
      </c>
      <c r="F406" s="436">
        <v>114.3</v>
      </c>
      <c r="G406" s="17">
        <f t="shared" si="55"/>
        <v>9.9551413799999988</v>
      </c>
      <c r="K406" s="59"/>
    </row>
    <row r="407" spans="1:11">
      <c r="A407" s="436" t="s">
        <v>1414</v>
      </c>
      <c r="B407" s="436" t="s">
        <v>2165</v>
      </c>
      <c r="C407" s="436">
        <v>381</v>
      </c>
      <c r="D407" s="436">
        <v>228.6</v>
      </c>
      <c r="E407" s="436">
        <v>152.4</v>
      </c>
      <c r="F407" s="436">
        <v>152.4</v>
      </c>
      <c r="G407" s="17">
        <f t="shared" si="55"/>
        <v>13.273521839999999</v>
      </c>
      <c r="K407" s="59"/>
    </row>
    <row r="408" spans="1:11">
      <c r="A408" s="436" t="s">
        <v>1405</v>
      </c>
      <c r="B408" s="436" t="s">
        <v>2165</v>
      </c>
      <c r="C408" s="436">
        <v>381</v>
      </c>
      <c r="D408" s="436">
        <v>304.8</v>
      </c>
      <c r="E408" s="436">
        <v>38.1</v>
      </c>
      <c r="F408" s="436">
        <v>38.1</v>
      </c>
      <c r="G408" s="17">
        <f t="shared" si="55"/>
        <v>4.4245072800000003</v>
      </c>
      <c r="K408" s="59"/>
    </row>
    <row r="409" spans="1:11">
      <c r="A409" s="436" t="s">
        <v>1406</v>
      </c>
      <c r="B409" s="436" t="s">
        <v>2165</v>
      </c>
      <c r="C409" s="436">
        <v>381</v>
      </c>
      <c r="D409" s="436">
        <v>304.8</v>
      </c>
      <c r="E409" s="436">
        <v>50.8</v>
      </c>
      <c r="F409" s="436">
        <v>50.8</v>
      </c>
      <c r="G409" s="17">
        <f t="shared" si="55"/>
        <v>5.8993430399999998</v>
      </c>
      <c r="K409" s="59"/>
    </row>
    <row r="410" spans="1:11">
      <c r="A410" s="436" t="s">
        <v>1418</v>
      </c>
      <c r="B410" s="436" t="s">
        <v>2165</v>
      </c>
      <c r="C410" s="436">
        <v>381</v>
      </c>
      <c r="D410" s="436">
        <v>304.8</v>
      </c>
      <c r="E410" s="436">
        <v>63.5</v>
      </c>
      <c r="F410" s="436">
        <v>63.5</v>
      </c>
      <c r="G410" s="17">
        <f t="shared" si="55"/>
        <v>7.3741788000000001</v>
      </c>
      <c r="K410" s="59"/>
    </row>
    <row r="411" spans="1:11">
      <c r="A411" s="436" t="s">
        <v>1400</v>
      </c>
      <c r="B411" s="436" t="s">
        <v>2165</v>
      </c>
      <c r="C411" s="436">
        <v>381</v>
      </c>
      <c r="D411" s="436">
        <v>304.8</v>
      </c>
      <c r="E411" s="436">
        <v>76.2</v>
      </c>
      <c r="F411" s="436">
        <v>76.2</v>
      </c>
      <c r="G411" s="17">
        <f t="shared" si="55"/>
        <v>8.8490145600000005</v>
      </c>
      <c r="K411" s="59"/>
    </row>
    <row r="412" spans="1:11">
      <c r="A412" s="436" t="s">
        <v>1416</v>
      </c>
      <c r="B412" s="436" t="s">
        <v>2165</v>
      </c>
      <c r="C412" s="436">
        <v>381</v>
      </c>
      <c r="D412" s="436">
        <v>304.8</v>
      </c>
      <c r="E412" s="436">
        <v>100</v>
      </c>
      <c r="F412" s="436">
        <v>100</v>
      </c>
      <c r="G412" s="17">
        <f t="shared" si="55"/>
        <v>11.612880000000001</v>
      </c>
      <c r="K412" s="59"/>
    </row>
    <row r="413" spans="1:11">
      <c r="A413" s="436" t="s">
        <v>1411</v>
      </c>
      <c r="B413" s="436" t="s">
        <v>2165</v>
      </c>
      <c r="C413" s="436">
        <v>381</v>
      </c>
      <c r="D413" s="436">
        <v>304.8</v>
      </c>
      <c r="E413" s="436">
        <v>101.6</v>
      </c>
      <c r="F413" s="436">
        <v>101.6</v>
      </c>
      <c r="G413" s="17">
        <f t="shared" si="55"/>
        <v>11.79868608</v>
      </c>
      <c r="K413" s="59"/>
    </row>
    <row r="414" spans="1:11">
      <c r="A414" s="436" t="s">
        <v>1412</v>
      </c>
      <c r="B414" s="436" t="s">
        <v>2165</v>
      </c>
      <c r="C414" s="436">
        <v>381</v>
      </c>
      <c r="D414" s="436">
        <v>304.8</v>
      </c>
      <c r="E414" s="436">
        <v>152.4</v>
      </c>
      <c r="F414" s="436">
        <v>152.4</v>
      </c>
      <c r="G414" s="17">
        <f t="shared" si="55"/>
        <v>17.698029120000001</v>
      </c>
      <c r="K414" s="59"/>
    </row>
    <row r="415" spans="1:11">
      <c r="A415" s="436" t="s">
        <v>1409</v>
      </c>
      <c r="B415" s="436" t="s">
        <v>2165</v>
      </c>
      <c r="C415" s="436">
        <v>381</v>
      </c>
      <c r="D415" s="436">
        <v>381</v>
      </c>
      <c r="E415" s="436">
        <v>50.8</v>
      </c>
      <c r="F415" s="436">
        <v>50.8</v>
      </c>
      <c r="G415" s="17">
        <f t="shared" si="55"/>
        <v>7.3741788000000001</v>
      </c>
      <c r="K415" s="59"/>
    </row>
    <row r="416" spans="1:11">
      <c r="A416" s="436" t="s">
        <v>1413</v>
      </c>
      <c r="B416" s="436" t="s">
        <v>2165</v>
      </c>
      <c r="C416" s="436">
        <v>381</v>
      </c>
      <c r="D416" s="436">
        <v>381</v>
      </c>
      <c r="E416" s="436">
        <v>76.2</v>
      </c>
      <c r="F416" s="436">
        <v>76.2</v>
      </c>
      <c r="G416" s="17">
        <f t="shared" si="55"/>
        <v>11.061268200000001</v>
      </c>
      <c r="K416" s="59"/>
    </row>
    <row r="417" spans="1:25" customFormat="1">
      <c r="A417" s="439" t="s">
        <v>1426</v>
      </c>
      <c r="B417" s="442" t="s">
        <v>2165</v>
      </c>
      <c r="C417" s="443">
        <v>457.2</v>
      </c>
      <c r="D417" s="443">
        <v>152.4</v>
      </c>
      <c r="E417" s="443">
        <v>50.8</v>
      </c>
      <c r="F417" s="443">
        <v>50.8</v>
      </c>
      <c r="G417" s="17">
        <f t="shared" si="55"/>
        <v>3.5396058239999997</v>
      </c>
      <c r="H417" s="3"/>
      <c r="I417" s="3"/>
      <c r="J417" s="3"/>
      <c r="K417" s="59"/>
      <c r="T417" s="352"/>
      <c r="Y417" s="352"/>
    </row>
    <row r="418" spans="1:25" customFormat="1">
      <c r="A418" s="439" t="s">
        <v>1427</v>
      </c>
      <c r="B418" s="442" t="s">
        <v>2165</v>
      </c>
      <c r="C418" s="443">
        <v>457.2</v>
      </c>
      <c r="D418" s="443">
        <v>152.4</v>
      </c>
      <c r="E418" s="443">
        <v>63.5</v>
      </c>
      <c r="F418" s="443">
        <v>63.5</v>
      </c>
      <c r="G418" s="17">
        <f t="shared" si="55"/>
        <v>4.4245072800000003</v>
      </c>
      <c r="H418" s="3"/>
      <c r="I418" s="3"/>
      <c r="J418" s="3"/>
      <c r="K418" s="59"/>
      <c r="T418" s="352"/>
      <c r="Y418" s="352"/>
    </row>
    <row r="419" spans="1:25" customFormat="1">
      <c r="A419" s="439" t="s">
        <v>1438</v>
      </c>
      <c r="B419" s="442" t="s">
        <v>2165</v>
      </c>
      <c r="C419" s="443">
        <v>457.2</v>
      </c>
      <c r="D419" s="443">
        <v>152.4</v>
      </c>
      <c r="E419" s="443">
        <v>76.2</v>
      </c>
      <c r="F419" s="443">
        <v>76.2</v>
      </c>
      <c r="G419" s="17">
        <f t="shared" si="55"/>
        <v>5.3094087360000009</v>
      </c>
      <c r="H419" s="3"/>
      <c r="I419" s="3"/>
      <c r="J419" s="3"/>
      <c r="K419" s="59"/>
      <c r="T419" s="352"/>
      <c r="Y419" s="352"/>
    </row>
    <row r="420" spans="1:25" customFormat="1">
      <c r="A420" s="439" t="s">
        <v>1425</v>
      </c>
      <c r="B420" s="442" t="s">
        <v>2165</v>
      </c>
      <c r="C420" s="443">
        <v>457.2</v>
      </c>
      <c r="D420" s="443">
        <v>152.4</v>
      </c>
      <c r="E420" s="443">
        <v>100</v>
      </c>
      <c r="F420" s="443">
        <v>100</v>
      </c>
      <c r="G420" s="17">
        <f t="shared" si="55"/>
        <v>6.9677280000000001</v>
      </c>
      <c r="H420" s="3"/>
      <c r="I420" s="3"/>
      <c r="J420" s="3"/>
      <c r="K420" s="59"/>
      <c r="T420" s="352"/>
      <c r="Y420" s="352"/>
    </row>
    <row r="421" spans="1:25" customFormat="1">
      <c r="A421" s="439" t="s">
        <v>1428</v>
      </c>
      <c r="B421" s="442" t="s">
        <v>2165</v>
      </c>
      <c r="C421" s="443">
        <v>457.2</v>
      </c>
      <c r="D421" s="443">
        <v>152.4</v>
      </c>
      <c r="E421" s="443">
        <v>101.6</v>
      </c>
      <c r="F421" s="443">
        <v>101.6</v>
      </c>
      <c r="G421" s="17">
        <f t="shared" si="55"/>
        <v>7.0792116479999994</v>
      </c>
      <c r="H421" s="3"/>
      <c r="I421" s="3"/>
      <c r="J421" s="3"/>
      <c r="K421" s="59"/>
      <c r="T421" s="352"/>
      <c r="Y421" s="352"/>
    </row>
    <row r="422" spans="1:25" customFormat="1">
      <c r="A422" s="439" t="s">
        <v>1429</v>
      </c>
      <c r="B422" s="442" t="s">
        <v>2165</v>
      </c>
      <c r="C422" s="443">
        <v>457.2</v>
      </c>
      <c r="D422" s="443">
        <v>152.4</v>
      </c>
      <c r="E422" s="443">
        <v>114.3</v>
      </c>
      <c r="F422" s="443">
        <v>114.3</v>
      </c>
      <c r="G422" s="17">
        <f t="shared" si="55"/>
        <v>7.9641131039999991</v>
      </c>
      <c r="H422" s="3"/>
      <c r="I422" s="3"/>
      <c r="J422" s="3"/>
      <c r="K422" s="59"/>
      <c r="T422" s="352"/>
      <c r="Y422" s="352"/>
    </row>
    <row r="423" spans="1:25" customFormat="1">
      <c r="A423" s="439" t="s">
        <v>1444</v>
      </c>
      <c r="B423" s="442" t="s">
        <v>2165</v>
      </c>
      <c r="C423" s="443">
        <v>457.2</v>
      </c>
      <c r="D423" s="443">
        <v>152.4</v>
      </c>
      <c r="E423" s="443">
        <v>152.4</v>
      </c>
      <c r="F423" s="443">
        <v>152.4</v>
      </c>
      <c r="G423" s="17">
        <f t="shared" si="55"/>
        <v>10.618817472000002</v>
      </c>
      <c r="H423" s="3"/>
      <c r="I423" s="3"/>
      <c r="J423" s="3"/>
      <c r="K423" s="59"/>
      <c r="T423" s="352"/>
      <c r="Y423" s="352"/>
    </row>
    <row r="424" spans="1:25" customFormat="1">
      <c r="A424" s="439" t="s">
        <v>1448</v>
      </c>
      <c r="B424" s="442" t="s">
        <v>2165</v>
      </c>
      <c r="C424" s="443">
        <v>457.2</v>
      </c>
      <c r="D424" s="443">
        <v>203.2</v>
      </c>
      <c r="E424" s="443">
        <v>76.2</v>
      </c>
      <c r="F424" s="443">
        <v>76.2</v>
      </c>
      <c r="G424" s="17">
        <f t="shared" si="55"/>
        <v>7.0792116480000002</v>
      </c>
      <c r="H424" s="3"/>
      <c r="I424" s="3"/>
      <c r="J424" s="3"/>
      <c r="K424" s="59"/>
      <c r="T424" s="352"/>
      <c r="Y424" s="352"/>
    </row>
    <row r="425" spans="1:25" customFormat="1">
      <c r="A425" s="439" t="s">
        <v>1462</v>
      </c>
      <c r="B425" s="442" t="s">
        <v>2165</v>
      </c>
      <c r="C425" s="443">
        <v>457.2</v>
      </c>
      <c r="D425" s="443">
        <v>203.2</v>
      </c>
      <c r="E425" s="443">
        <v>101.6</v>
      </c>
      <c r="F425" s="443">
        <v>101.6</v>
      </c>
      <c r="G425" s="17">
        <f t="shared" si="55"/>
        <v>9.4389488639999986</v>
      </c>
      <c r="H425" s="3"/>
      <c r="I425" s="3"/>
      <c r="J425" s="3"/>
      <c r="K425" s="59"/>
      <c r="T425" s="352"/>
      <c r="Y425" s="352"/>
    </row>
    <row r="426" spans="1:25" customFormat="1">
      <c r="A426" s="439" t="s">
        <v>1449</v>
      </c>
      <c r="B426" s="442" t="s">
        <v>2165</v>
      </c>
      <c r="C426" s="443">
        <v>457.2</v>
      </c>
      <c r="D426" s="443">
        <v>203.2</v>
      </c>
      <c r="E426" s="443">
        <v>114.3</v>
      </c>
      <c r="F426" s="443">
        <v>114.3</v>
      </c>
      <c r="G426" s="17">
        <f t="shared" si="55"/>
        <v>10.618817472</v>
      </c>
      <c r="H426" s="3"/>
      <c r="I426" s="3"/>
      <c r="J426" s="3"/>
      <c r="K426" s="59"/>
      <c r="T426" s="352"/>
      <c r="Y426" s="352"/>
    </row>
    <row r="427" spans="1:25" customFormat="1">
      <c r="A427" s="439" t="s">
        <v>1452</v>
      </c>
      <c r="B427" s="442" t="s">
        <v>2165</v>
      </c>
      <c r="C427" s="443">
        <v>457.2</v>
      </c>
      <c r="D427" s="443">
        <v>203.2</v>
      </c>
      <c r="E427" s="443">
        <v>203.2</v>
      </c>
      <c r="F427" s="443">
        <v>203.2</v>
      </c>
      <c r="G427" s="17">
        <f t="shared" si="55"/>
        <v>18.877897727999997</v>
      </c>
      <c r="H427" s="3"/>
      <c r="I427" s="3"/>
      <c r="J427" s="3"/>
      <c r="K427" s="59"/>
      <c r="T427" s="352"/>
      <c r="Y427" s="352"/>
    </row>
    <row r="428" spans="1:25" customFormat="1">
      <c r="A428" s="439" t="s">
        <v>1457</v>
      </c>
      <c r="B428" s="442" t="s">
        <v>2165</v>
      </c>
      <c r="C428" s="443">
        <v>457.2</v>
      </c>
      <c r="D428" s="443">
        <v>228.6</v>
      </c>
      <c r="E428" s="443">
        <v>50.8</v>
      </c>
      <c r="F428" s="443">
        <v>50.8</v>
      </c>
      <c r="G428" s="17">
        <f t="shared" si="55"/>
        <v>5.309408736</v>
      </c>
      <c r="H428" s="3"/>
      <c r="I428" s="3"/>
      <c r="J428" s="3"/>
      <c r="K428" s="59"/>
      <c r="T428" s="352"/>
      <c r="Y428" s="352"/>
    </row>
    <row r="429" spans="1:25" customFormat="1">
      <c r="A429" s="439" t="s">
        <v>1430</v>
      </c>
      <c r="B429" s="442" t="s">
        <v>2165</v>
      </c>
      <c r="C429" s="443">
        <v>457.2</v>
      </c>
      <c r="D429" s="443">
        <v>228.6</v>
      </c>
      <c r="E429" s="443">
        <v>63.5</v>
      </c>
      <c r="F429" s="443">
        <v>63.5</v>
      </c>
      <c r="G429" s="17">
        <f t="shared" si="55"/>
        <v>6.6367609199999995</v>
      </c>
      <c r="H429" s="3"/>
      <c r="I429" s="3"/>
      <c r="J429" s="3"/>
      <c r="K429" s="59"/>
      <c r="T429" s="352"/>
      <c r="Y429" s="352"/>
    </row>
    <row r="430" spans="1:25" customFormat="1">
      <c r="A430" s="439" t="s">
        <v>1439</v>
      </c>
      <c r="B430" s="442" t="s">
        <v>2165</v>
      </c>
      <c r="C430" s="443">
        <v>457.2</v>
      </c>
      <c r="D430" s="443">
        <v>228.6</v>
      </c>
      <c r="E430" s="443">
        <v>76.2</v>
      </c>
      <c r="F430" s="443">
        <v>76.2</v>
      </c>
      <c r="G430" s="17">
        <f t="shared" si="55"/>
        <v>7.9641131039999999</v>
      </c>
      <c r="H430" s="3"/>
      <c r="I430" s="3"/>
      <c r="J430" s="3"/>
      <c r="K430" s="59"/>
      <c r="T430" s="352"/>
      <c r="Y430" s="352"/>
    </row>
    <row r="431" spans="1:25" customFormat="1">
      <c r="A431" s="439" t="s">
        <v>1434</v>
      </c>
      <c r="B431" s="442" t="s">
        <v>2165</v>
      </c>
      <c r="C431" s="443">
        <v>457.2</v>
      </c>
      <c r="D431" s="443">
        <v>228.6</v>
      </c>
      <c r="E431" s="443">
        <v>100</v>
      </c>
      <c r="F431" s="443">
        <v>100</v>
      </c>
      <c r="G431" s="17">
        <f t="shared" si="55"/>
        <v>10.451592</v>
      </c>
      <c r="H431" s="3"/>
      <c r="I431" s="3"/>
      <c r="J431" s="3"/>
      <c r="K431" s="59"/>
      <c r="T431" s="352"/>
      <c r="Y431" s="352"/>
    </row>
    <row r="432" spans="1:25" customFormat="1">
      <c r="A432" s="439" t="s">
        <v>1431</v>
      </c>
      <c r="B432" s="442" t="s">
        <v>2165</v>
      </c>
      <c r="C432" s="443">
        <v>457.2</v>
      </c>
      <c r="D432" s="443">
        <v>228.6</v>
      </c>
      <c r="E432" s="443">
        <v>101.6</v>
      </c>
      <c r="F432" s="443">
        <v>101.6</v>
      </c>
      <c r="G432" s="17">
        <f t="shared" si="55"/>
        <v>10.618817472</v>
      </c>
      <c r="H432" s="3"/>
      <c r="I432" s="3"/>
      <c r="J432" s="3"/>
      <c r="K432" s="59"/>
      <c r="T432" s="352"/>
      <c r="Y432" s="352"/>
    </row>
    <row r="433" spans="1:25" customFormat="1">
      <c r="A433" s="439" t="s">
        <v>1432</v>
      </c>
      <c r="B433" s="442" t="s">
        <v>2165</v>
      </c>
      <c r="C433" s="443">
        <v>457.2</v>
      </c>
      <c r="D433" s="443">
        <v>228.6</v>
      </c>
      <c r="E433" s="443">
        <v>114.3</v>
      </c>
      <c r="F433" s="443">
        <v>114.3</v>
      </c>
      <c r="G433" s="17">
        <f t="shared" si="55"/>
        <v>11.946169656</v>
      </c>
      <c r="H433" s="3"/>
      <c r="I433" s="3"/>
      <c r="J433" s="3"/>
      <c r="K433" s="59"/>
      <c r="T433" s="352"/>
      <c r="Y433" s="352"/>
    </row>
    <row r="434" spans="1:25" customFormat="1">
      <c r="A434" s="439" t="s">
        <v>1433</v>
      </c>
      <c r="B434" s="442" t="s">
        <v>2165</v>
      </c>
      <c r="C434" s="443">
        <v>457.2</v>
      </c>
      <c r="D434" s="443">
        <v>228.6</v>
      </c>
      <c r="E434" s="443">
        <v>152.6</v>
      </c>
      <c r="F434" s="443">
        <v>152.6</v>
      </c>
      <c r="G434" s="17">
        <f t="shared" si="55"/>
        <v>15.949129392</v>
      </c>
      <c r="H434" s="3"/>
      <c r="I434" s="3"/>
      <c r="J434" s="3"/>
      <c r="K434" s="59"/>
      <c r="T434" s="352"/>
      <c r="Y434" s="352"/>
    </row>
    <row r="435" spans="1:25" customFormat="1">
      <c r="A435" s="439" t="s">
        <v>1435</v>
      </c>
      <c r="B435" s="442" t="s">
        <v>2165</v>
      </c>
      <c r="C435" s="443">
        <v>457.2</v>
      </c>
      <c r="D435" s="443">
        <v>304.8</v>
      </c>
      <c r="E435" s="443">
        <v>50.8</v>
      </c>
      <c r="F435" s="443">
        <v>50.8</v>
      </c>
      <c r="G435" s="17">
        <f t="shared" si="55"/>
        <v>7.0792116479999994</v>
      </c>
      <c r="H435" s="3"/>
      <c r="I435" s="3"/>
      <c r="J435" s="3"/>
      <c r="K435" s="59"/>
      <c r="T435" s="352"/>
      <c r="Y435" s="352"/>
    </row>
    <row r="436" spans="1:25" customFormat="1">
      <c r="A436" s="439" t="s">
        <v>1458</v>
      </c>
      <c r="B436" s="442" t="s">
        <v>2165</v>
      </c>
      <c r="C436" s="443">
        <v>457.2</v>
      </c>
      <c r="D436" s="443">
        <v>304.8</v>
      </c>
      <c r="E436" s="443">
        <v>63.5</v>
      </c>
      <c r="F436" s="443">
        <v>63.5</v>
      </c>
      <c r="G436" s="17">
        <f t="shared" si="55"/>
        <v>8.8490145600000005</v>
      </c>
      <c r="H436" s="3"/>
      <c r="I436" s="3"/>
      <c r="J436" s="3"/>
      <c r="K436" s="59"/>
      <c r="T436" s="352"/>
      <c r="Y436" s="352"/>
    </row>
    <row r="437" spans="1:25" customFormat="1">
      <c r="A437" s="439" t="s">
        <v>1440</v>
      </c>
      <c r="B437" s="442" t="s">
        <v>2165</v>
      </c>
      <c r="C437" s="443">
        <v>457.2</v>
      </c>
      <c r="D437" s="443">
        <v>304.8</v>
      </c>
      <c r="E437" s="443">
        <v>76.2</v>
      </c>
      <c r="F437" s="443">
        <v>76.2</v>
      </c>
      <c r="G437" s="17">
        <f t="shared" si="55"/>
        <v>10.618817472000002</v>
      </c>
      <c r="H437" s="3"/>
      <c r="I437" s="3"/>
      <c r="J437" s="3"/>
      <c r="K437" s="59"/>
      <c r="T437" s="352"/>
      <c r="Y437" s="352"/>
    </row>
    <row r="438" spans="1:25" customFormat="1">
      <c r="A438" s="439" t="s">
        <v>1461</v>
      </c>
      <c r="B438" s="442" t="s">
        <v>2165</v>
      </c>
      <c r="C438" s="443">
        <v>457.2</v>
      </c>
      <c r="D438" s="443">
        <v>304.8</v>
      </c>
      <c r="E438" s="443">
        <v>100</v>
      </c>
      <c r="F438" s="443">
        <v>100</v>
      </c>
      <c r="G438" s="17">
        <f t="shared" si="55"/>
        <v>13.935456</v>
      </c>
      <c r="H438" s="3"/>
      <c r="I438" s="3"/>
      <c r="J438" s="3"/>
      <c r="K438" s="59"/>
      <c r="T438" s="352"/>
      <c r="Y438" s="352"/>
    </row>
    <row r="439" spans="1:25" customFormat="1">
      <c r="A439" s="439" t="s">
        <v>1450</v>
      </c>
      <c r="B439" s="442" t="s">
        <v>2165</v>
      </c>
      <c r="C439" s="443">
        <v>457.2</v>
      </c>
      <c r="D439" s="443">
        <v>304.8</v>
      </c>
      <c r="E439" s="443">
        <v>101.6</v>
      </c>
      <c r="F439" s="443">
        <v>101.6</v>
      </c>
      <c r="G439" s="17">
        <f t="shared" si="55"/>
        <v>14.158423295999999</v>
      </c>
      <c r="H439" s="3"/>
      <c r="I439" s="3"/>
      <c r="J439" s="3"/>
      <c r="K439" s="59"/>
      <c r="T439" s="352"/>
      <c r="Y439" s="352"/>
    </row>
    <row r="440" spans="1:25" customFormat="1">
      <c r="A440" s="439" t="s">
        <v>1441</v>
      </c>
      <c r="B440" s="442" t="s">
        <v>2165</v>
      </c>
      <c r="C440" s="443">
        <v>457.2</v>
      </c>
      <c r="D440" s="443">
        <v>304.8</v>
      </c>
      <c r="E440" s="443">
        <v>152.4</v>
      </c>
      <c r="F440" s="443">
        <v>152.4</v>
      </c>
      <c r="G440" s="17">
        <f t="shared" si="55"/>
        <v>21.237634944000003</v>
      </c>
      <c r="H440" s="3"/>
      <c r="I440" s="3"/>
      <c r="J440" s="3"/>
      <c r="K440" s="59"/>
      <c r="T440" s="352"/>
      <c r="Y440" s="352"/>
    </row>
    <row r="441" spans="1:25" customFormat="1">
      <c r="A441" s="439" t="s">
        <v>1442</v>
      </c>
      <c r="B441" s="442" t="s">
        <v>2165</v>
      </c>
      <c r="C441" s="443">
        <v>457.2</v>
      </c>
      <c r="D441" s="443">
        <v>304.8</v>
      </c>
      <c r="E441" s="443">
        <v>203.2</v>
      </c>
      <c r="F441" s="443">
        <v>203.2</v>
      </c>
      <c r="G441" s="17">
        <f t="shared" si="55"/>
        <v>28.316846591999997</v>
      </c>
      <c r="H441" s="3"/>
      <c r="I441" s="3"/>
      <c r="J441" s="3"/>
      <c r="K441" s="59"/>
      <c r="T441" s="352"/>
      <c r="Y441" s="352"/>
    </row>
    <row r="442" spans="1:25" customFormat="1">
      <c r="A442" s="439" t="s">
        <v>1456</v>
      </c>
      <c r="B442" s="442" t="s">
        <v>2165</v>
      </c>
      <c r="C442" s="443">
        <v>457.2</v>
      </c>
      <c r="D442" s="443">
        <v>304.8</v>
      </c>
      <c r="E442" s="443">
        <v>228.6</v>
      </c>
      <c r="F442" s="443">
        <v>228.6</v>
      </c>
      <c r="G442" s="17">
        <f t="shared" si="55"/>
        <v>31.856452415999996</v>
      </c>
      <c r="H442" s="3"/>
      <c r="I442" s="3"/>
      <c r="J442" s="3"/>
      <c r="K442" s="59"/>
      <c r="T442" s="352"/>
      <c r="Y442" s="352"/>
    </row>
    <row r="443" spans="1:25" customFormat="1">
      <c r="A443" s="439" t="s">
        <v>1455</v>
      </c>
      <c r="B443" s="442" t="s">
        <v>2165</v>
      </c>
      <c r="C443" s="443">
        <v>457.2</v>
      </c>
      <c r="D443" s="443">
        <v>304.8</v>
      </c>
      <c r="E443" s="443">
        <v>304.8</v>
      </c>
      <c r="F443" s="443">
        <v>304.8</v>
      </c>
      <c r="G443" s="17">
        <f t="shared" si="55"/>
        <v>42.475269888000007</v>
      </c>
      <c r="H443" s="3"/>
      <c r="I443" s="3"/>
      <c r="J443" s="3"/>
      <c r="K443" s="59"/>
      <c r="T443" s="352"/>
      <c r="Y443" s="352"/>
    </row>
    <row r="444" spans="1:25" customFormat="1">
      <c r="A444" s="439" t="s">
        <v>1459</v>
      </c>
      <c r="B444" s="442" t="s">
        <v>2165</v>
      </c>
      <c r="C444" s="443">
        <v>457.2</v>
      </c>
      <c r="D444" s="443">
        <v>381</v>
      </c>
      <c r="E444" s="443">
        <v>50.8</v>
      </c>
      <c r="F444" s="443">
        <v>50.8</v>
      </c>
      <c r="G444" s="17">
        <f t="shared" si="55"/>
        <v>8.8490145599999988</v>
      </c>
      <c r="H444" s="3"/>
      <c r="I444" s="3"/>
      <c r="J444" s="3"/>
      <c r="K444" s="59"/>
      <c r="T444" s="352"/>
      <c r="Y444" s="352"/>
    </row>
    <row r="445" spans="1:25" customFormat="1">
      <c r="A445" s="439" t="s">
        <v>1436</v>
      </c>
      <c r="B445" s="442" t="s">
        <v>2165</v>
      </c>
      <c r="C445" s="443">
        <v>457.2</v>
      </c>
      <c r="D445" s="443">
        <v>381</v>
      </c>
      <c r="E445" s="443">
        <v>63.5</v>
      </c>
      <c r="F445" s="443">
        <v>63.5</v>
      </c>
      <c r="G445" s="17">
        <f t="shared" si="55"/>
        <v>11.061268199999999</v>
      </c>
      <c r="H445" s="3"/>
      <c r="I445" s="3"/>
      <c r="J445" s="3"/>
      <c r="K445" s="59"/>
      <c r="T445" s="352"/>
      <c r="Y445" s="352"/>
    </row>
    <row r="446" spans="1:25" customFormat="1">
      <c r="A446" s="439" t="s">
        <v>1445</v>
      </c>
      <c r="B446" s="442" t="s">
        <v>2165</v>
      </c>
      <c r="C446" s="443">
        <v>457.2</v>
      </c>
      <c r="D446" s="443">
        <v>381</v>
      </c>
      <c r="E446" s="443">
        <v>76.2</v>
      </c>
      <c r="F446" s="443">
        <v>76.2</v>
      </c>
      <c r="G446" s="17">
        <f t="shared" si="55"/>
        <v>13.273521839999999</v>
      </c>
      <c r="H446" s="3"/>
      <c r="I446" s="3"/>
      <c r="J446" s="3"/>
      <c r="K446" s="59"/>
      <c r="T446" s="352"/>
      <c r="Y446" s="352"/>
    </row>
    <row r="447" spans="1:25" customFormat="1">
      <c r="A447" s="439" t="s">
        <v>1451</v>
      </c>
      <c r="B447" s="442" t="s">
        <v>2165</v>
      </c>
      <c r="C447" s="443">
        <v>457.2</v>
      </c>
      <c r="D447" s="443">
        <v>381</v>
      </c>
      <c r="E447" s="443">
        <v>101.6</v>
      </c>
      <c r="F447" s="443">
        <v>101.6</v>
      </c>
      <c r="G447" s="17">
        <f t="shared" si="55"/>
        <v>17.698029119999998</v>
      </c>
      <c r="H447" s="3"/>
      <c r="I447" s="3"/>
      <c r="J447" s="3"/>
      <c r="K447" s="59"/>
      <c r="T447" s="352"/>
      <c r="Y447" s="352"/>
    </row>
    <row r="448" spans="1:25" customFormat="1">
      <c r="A448" s="439" t="s">
        <v>1453</v>
      </c>
      <c r="B448" s="442" t="s">
        <v>2165</v>
      </c>
      <c r="C448" s="443">
        <v>457.2</v>
      </c>
      <c r="D448" s="443">
        <v>381</v>
      </c>
      <c r="E448" s="443">
        <v>127</v>
      </c>
      <c r="F448" s="443">
        <v>127</v>
      </c>
      <c r="G448" s="17">
        <f t="shared" si="55"/>
        <v>22.122536399999998</v>
      </c>
      <c r="H448" s="3"/>
      <c r="I448" s="3"/>
      <c r="J448" s="3"/>
      <c r="K448" s="59"/>
      <c r="T448" s="352"/>
      <c r="Y448" s="352"/>
    </row>
    <row r="449" spans="1:25" customFormat="1">
      <c r="A449" s="439" t="s">
        <v>1446</v>
      </c>
      <c r="B449" s="442" t="s">
        <v>2165</v>
      </c>
      <c r="C449" s="443">
        <v>457.2</v>
      </c>
      <c r="D449" s="443">
        <v>457.2</v>
      </c>
      <c r="E449" s="443">
        <v>63.5</v>
      </c>
      <c r="F449" s="443">
        <v>63.5</v>
      </c>
      <c r="G449" s="17">
        <f t="shared" si="55"/>
        <v>13.273521839999999</v>
      </c>
      <c r="H449" s="3"/>
      <c r="I449" s="3"/>
      <c r="J449" s="3"/>
      <c r="K449" s="59"/>
      <c r="T449" s="352"/>
      <c r="Y449" s="352"/>
    </row>
    <row r="450" spans="1:25" customFormat="1">
      <c r="A450" s="439" t="s">
        <v>1447</v>
      </c>
      <c r="B450" s="442" t="s">
        <v>2165</v>
      </c>
      <c r="C450" s="443">
        <v>457.2</v>
      </c>
      <c r="D450" s="443">
        <v>457.2</v>
      </c>
      <c r="E450" s="443">
        <v>76.2</v>
      </c>
      <c r="F450" s="443">
        <v>76.2</v>
      </c>
      <c r="G450" s="17">
        <f t="shared" si="55"/>
        <v>15.928226208</v>
      </c>
      <c r="H450" s="3"/>
      <c r="I450" s="3"/>
      <c r="J450" s="3"/>
      <c r="K450" s="59"/>
      <c r="T450" s="352"/>
      <c r="Y450" s="352"/>
    </row>
    <row r="451" spans="1:25" customFormat="1">
      <c r="A451" s="439" t="s">
        <v>1443</v>
      </c>
      <c r="B451" s="442" t="s">
        <v>2165</v>
      </c>
      <c r="C451" s="443">
        <v>457.2</v>
      </c>
      <c r="D451" s="443">
        <v>457.2</v>
      </c>
      <c r="E451" s="443">
        <v>101.6</v>
      </c>
      <c r="F451" s="443">
        <v>101.6</v>
      </c>
      <c r="G451" s="17">
        <f t="shared" si="55"/>
        <v>21.237634944</v>
      </c>
      <c r="H451" s="3"/>
      <c r="I451" s="3"/>
      <c r="J451" s="3"/>
      <c r="K451" s="59"/>
      <c r="T451" s="352"/>
      <c r="Y451" s="352"/>
    </row>
    <row r="452" spans="1:25" customFormat="1">
      <c r="A452" s="439" t="s">
        <v>1437</v>
      </c>
      <c r="B452" s="442" t="s">
        <v>2165</v>
      </c>
      <c r="C452" s="443">
        <v>457.2</v>
      </c>
      <c r="D452" s="443">
        <v>457.2</v>
      </c>
      <c r="E452" s="443">
        <v>114.3</v>
      </c>
      <c r="F452" s="443">
        <v>114.3</v>
      </c>
      <c r="G452" s="17">
        <f t="shared" si="55"/>
        <v>23.892339312000001</v>
      </c>
      <c r="H452" s="3"/>
      <c r="I452" s="3"/>
      <c r="J452" s="3"/>
      <c r="K452" s="59"/>
      <c r="T452" s="352"/>
      <c r="Y452" s="352"/>
    </row>
    <row r="453" spans="1:25" customFormat="1">
      <c r="A453" s="439" t="s">
        <v>1460</v>
      </c>
      <c r="B453" s="442" t="s">
        <v>2165</v>
      </c>
      <c r="C453" s="443">
        <v>457.2</v>
      </c>
      <c r="D453" s="443">
        <v>457.2</v>
      </c>
      <c r="E453" s="443">
        <v>152.4</v>
      </c>
      <c r="F453" s="443">
        <v>152.4</v>
      </c>
      <c r="G453" s="17">
        <f t="shared" si="55"/>
        <v>31.856452416</v>
      </c>
      <c r="H453" s="3"/>
      <c r="I453" s="3"/>
      <c r="J453" s="3"/>
      <c r="K453" s="59"/>
      <c r="T453" s="352"/>
      <c r="Y453" s="352"/>
    </row>
    <row r="454" spans="1:25" customFormat="1">
      <c r="A454" s="439" t="s">
        <v>1454</v>
      </c>
      <c r="B454" s="442" t="s">
        <v>2165</v>
      </c>
      <c r="C454" s="443">
        <v>457.2</v>
      </c>
      <c r="D454" s="443">
        <v>457.2</v>
      </c>
      <c r="E454" s="443">
        <v>228.6</v>
      </c>
      <c r="F454" s="443">
        <v>228.6</v>
      </c>
      <c r="G454" s="17">
        <f t="shared" si="55"/>
        <v>47.784678624000001</v>
      </c>
      <c r="H454" s="3"/>
      <c r="I454" s="3"/>
      <c r="J454" s="3"/>
      <c r="K454" s="59"/>
      <c r="T454" s="352"/>
      <c r="Y454" s="352"/>
    </row>
    <row r="455" spans="1:25">
      <c r="A455" s="370" t="s">
        <v>1469</v>
      </c>
      <c r="B455" s="607" t="s">
        <v>2165</v>
      </c>
      <c r="C455" s="444">
        <v>533.4</v>
      </c>
      <c r="D455" s="444">
        <v>152.4</v>
      </c>
      <c r="E455" s="444">
        <v>63.5</v>
      </c>
      <c r="F455" s="444">
        <v>63.5</v>
      </c>
      <c r="G455" s="17">
        <f t="shared" ref="G455:G468" si="56">C455*D455*E455/10^6</f>
        <v>5.16192516</v>
      </c>
      <c r="K455" s="59"/>
    </row>
    <row r="456" spans="1:25">
      <c r="A456" s="370" t="s">
        <v>1465</v>
      </c>
      <c r="B456" s="607" t="s">
        <v>2165</v>
      </c>
      <c r="C456" s="444">
        <v>533.4</v>
      </c>
      <c r="D456" s="444">
        <v>152.4</v>
      </c>
      <c r="E456" s="444">
        <v>76.2</v>
      </c>
      <c r="F456" s="444">
        <v>76.2</v>
      </c>
      <c r="G456" s="17">
        <f t="shared" si="56"/>
        <v>6.1943101920000005</v>
      </c>
      <c r="K456" s="59"/>
    </row>
    <row r="457" spans="1:25">
      <c r="A457" s="370" t="s">
        <v>1463</v>
      </c>
      <c r="B457" s="607" t="s">
        <v>2165</v>
      </c>
      <c r="C457" s="444">
        <v>533.4</v>
      </c>
      <c r="D457" s="444">
        <v>152.4</v>
      </c>
      <c r="E457" s="444">
        <v>100</v>
      </c>
      <c r="F457" s="444">
        <v>100</v>
      </c>
      <c r="G457" s="17">
        <f t="shared" si="56"/>
        <v>8.129016</v>
      </c>
      <c r="K457" s="59"/>
    </row>
    <row r="458" spans="1:25">
      <c r="A458" s="370" t="s">
        <v>1467</v>
      </c>
      <c r="B458" s="607" t="s">
        <v>2165</v>
      </c>
      <c r="C458" s="444">
        <v>533.4</v>
      </c>
      <c r="D458" s="444">
        <v>152.4</v>
      </c>
      <c r="E458" s="444">
        <v>101.6</v>
      </c>
      <c r="F458" s="444">
        <v>101.6</v>
      </c>
      <c r="G458" s="17">
        <f t="shared" si="56"/>
        <v>8.2590802560000007</v>
      </c>
      <c r="K458" s="59"/>
    </row>
    <row r="459" spans="1:25">
      <c r="A459" s="370" t="s">
        <v>1476</v>
      </c>
      <c r="B459" s="607" t="s">
        <v>2165</v>
      </c>
      <c r="C459" s="444">
        <v>533.4</v>
      </c>
      <c r="D459" s="444">
        <v>152.4</v>
      </c>
      <c r="E459" s="444">
        <v>114.3</v>
      </c>
      <c r="F459" s="444">
        <v>114.3</v>
      </c>
      <c r="G459" s="17">
        <f t="shared" si="56"/>
        <v>9.2914652880000013</v>
      </c>
      <c r="K459" s="59"/>
    </row>
    <row r="460" spans="1:25">
      <c r="A460" s="370" t="s">
        <v>1466</v>
      </c>
      <c r="B460" s="607" t="s">
        <v>2165</v>
      </c>
      <c r="C460" s="444">
        <v>533.4</v>
      </c>
      <c r="D460" s="444">
        <v>152.4</v>
      </c>
      <c r="E460" s="444">
        <v>152.4</v>
      </c>
      <c r="F460" s="444">
        <v>152.4</v>
      </c>
      <c r="G460" s="17">
        <f t="shared" si="56"/>
        <v>12.388620384000001</v>
      </c>
      <c r="K460" s="59"/>
    </row>
    <row r="461" spans="1:25" ht="12" customHeight="1">
      <c r="A461" s="370" t="s">
        <v>1475</v>
      </c>
      <c r="B461" s="607" t="s">
        <v>2165</v>
      </c>
      <c r="C461" s="444">
        <v>533.4</v>
      </c>
      <c r="D461" s="444">
        <v>228.6</v>
      </c>
      <c r="E461" s="444">
        <v>63.5</v>
      </c>
      <c r="F461" s="444">
        <v>63.5</v>
      </c>
      <c r="G461" s="17">
        <f t="shared" si="56"/>
        <v>7.7428877399999996</v>
      </c>
      <c r="K461" s="59"/>
    </row>
    <row r="462" spans="1:25">
      <c r="A462" s="370" t="s">
        <v>1464</v>
      </c>
      <c r="B462" s="607" t="s">
        <v>2165</v>
      </c>
      <c r="C462" s="444">
        <v>533.4</v>
      </c>
      <c r="D462" s="444">
        <v>228.6</v>
      </c>
      <c r="E462" s="444">
        <v>76.2</v>
      </c>
      <c r="F462" s="444">
        <v>76.2</v>
      </c>
      <c r="G462" s="17">
        <f t="shared" si="56"/>
        <v>9.2914652879999995</v>
      </c>
      <c r="K462" s="59"/>
    </row>
    <row r="463" spans="1:25">
      <c r="A463" s="370" t="s">
        <v>1468</v>
      </c>
      <c r="B463" s="607" t="s">
        <v>2165</v>
      </c>
      <c r="C463" s="444">
        <v>533.4</v>
      </c>
      <c r="D463" s="444">
        <v>304.8</v>
      </c>
      <c r="E463" s="444">
        <v>76.2</v>
      </c>
      <c r="F463" s="444">
        <v>76.2</v>
      </c>
      <c r="G463" s="17">
        <f t="shared" si="56"/>
        <v>12.388620384000001</v>
      </c>
      <c r="K463" s="59"/>
    </row>
    <row r="464" spans="1:25">
      <c r="A464" s="370" t="s">
        <v>1473</v>
      </c>
      <c r="B464" s="607" t="s">
        <v>2165</v>
      </c>
      <c r="C464" s="444">
        <v>533.4</v>
      </c>
      <c r="D464" s="444">
        <v>304.8</v>
      </c>
      <c r="E464" s="444">
        <v>304.8</v>
      </c>
      <c r="F464" s="444">
        <v>304.8</v>
      </c>
      <c r="G464" s="17">
        <f t="shared" si="56"/>
        <v>49.554481536000004</v>
      </c>
      <c r="K464" s="59"/>
    </row>
    <row r="465" spans="1:22">
      <c r="A465" s="370" t="s">
        <v>1472</v>
      </c>
      <c r="B465" s="607" t="s">
        <v>2165</v>
      </c>
      <c r="C465" s="444">
        <v>533.4</v>
      </c>
      <c r="D465" s="444">
        <v>457.2</v>
      </c>
      <c r="E465" s="444">
        <v>63.5</v>
      </c>
      <c r="F465" s="444">
        <v>63.5</v>
      </c>
      <c r="G465" s="17">
        <f t="shared" si="56"/>
        <v>15.485775479999999</v>
      </c>
      <c r="K465" s="59"/>
    </row>
    <row r="466" spans="1:22">
      <c r="A466" s="370" t="s">
        <v>1471</v>
      </c>
      <c r="B466" s="607" t="s">
        <v>2165</v>
      </c>
      <c r="C466" s="444">
        <v>533.4</v>
      </c>
      <c r="D466" s="444">
        <v>457.2</v>
      </c>
      <c r="E466" s="444">
        <v>76.2</v>
      </c>
      <c r="F466" s="444">
        <v>76.2</v>
      </c>
      <c r="G466" s="17">
        <f t="shared" si="56"/>
        <v>18.582930575999999</v>
      </c>
      <c r="K466" s="59"/>
    </row>
    <row r="467" spans="1:22">
      <c r="A467" s="370" t="s">
        <v>1470</v>
      </c>
      <c r="B467" s="607" t="s">
        <v>2165</v>
      </c>
      <c r="C467" s="444">
        <v>533.4</v>
      </c>
      <c r="D467" s="444">
        <v>457.2</v>
      </c>
      <c r="E467" s="444">
        <v>228.6</v>
      </c>
      <c r="F467" s="444">
        <v>228.6</v>
      </c>
      <c r="G467" s="17">
        <f t="shared" si="56"/>
        <v>55.748791727999993</v>
      </c>
      <c r="K467" s="59"/>
    </row>
    <row r="468" spans="1:22" ht="13.8" thickBot="1">
      <c r="A468" s="370" t="s">
        <v>1474</v>
      </c>
      <c r="B468" s="607" t="s">
        <v>2165</v>
      </c>
      <c r="C468" s="444">
        <v>533.4</v>
      </c>
      <c r="D468" s="444">
        <v>533.4</v>
      </c>
      <c r="E468" s="444">
        <v>304.8</v>
      </c>
      <c r="F468" s="444">
        <v>304.8</v>
      </c>
      <c r="G468" s="17">
        <f t="shared" si="56"/>
        <v>86.720342688000002</v>
      </c>
      <c r="K468" s="59"/>
    </row>
    <row r="469" spans="1:22" ht="25.2" thickBot="1">
      <c r="A469" s="445" t="s">
        <v>1510</v>
      </c>
      <c r="B469" s="357"/>
      <c r="C469" s="357"/>
      <c r="D469" s="357"/>
      <c r="E469" s="357"/>
      <c r="F469" s="357"/>
      <c r="G469" s="102"/>
      <c r="H469" s="102"/>
      <c r="I469" s="102"/>
      <c r="J469" s="102"/>
      <c r="K469" s="102"/>
      <c r="L469" s="20"/>
      <c r="M469" s="20"/>
      <c r="N469" s="20"/>
      <c r="O469" s="20"/>
      <c r="P469" s="20"/>
      <c r="Q469" s="23"/>
      <c r="R469" s="22"/>
      <c r="S469" s="22"/>
      <c r="T469" s="20"/>
      <c r="U469" s="22"/>
      <c r="V469" s="20"/>
    </row>
    <row r="470" spans="1:22">
      <c r="A470" s="68" t="s">
        <v>1477</v>
      </c>
      <c r="B470" s="349" t="s">
        <v>22</v>
      </c>
      <c r="C470" s="438">
        <v>152.4</v>
      </c>
      <c r="D470" s="438">
        <v>114.3</v>
      </c>
      <c r="E470" s="438">
        <v>76.2</v>
      </c>
      <c r="F470" s="438">
        <v>25.4</v>
      </c>
      <c r="G470" s="17">
        <f>((E470+F470)/2)*D470*C470/10^6</f>
        <v>0.88490145600000003</v>
      </c>
      <c r="K470" s="59"/>
      <c r="L470" s="20"/>
      <c r="M470" s="20"/>
      <c r="N470" s="20"/>
      <c r="O470" s="20"/>
      <c r="P470" s="20"/>
      <c r="Q470" s="23"/>
      <c r="R470" s="22" t="s">
        <v>16</v>
      </c>
      <c r="S470" s="22" t="s">
        <v>16</v>
      </c>
      <c r="T470" s="20">
        <f t="shared" ref="T470:T533" si="57">(E470+U470)/2/(SIN(RADIANS((ATAN(((E470+U470)-(F470+U470))/2/C470)*180/PI()))))*2</f>
        <v>469.58926733902257</v>
      </c>
      <c r="U470" s="22">
        <v>1</v>
      </c>
    </row>
    <row r="471" spans="1:22">
      <c r="A471" s="375" t="s">
        <v>1135</v>
      </c>
      <c r="B471" s="375" t="s">
        <v>22</v>
      </c>
      <c r="C471" s="375">
        <v>203.2</v>
      </c>
      <c r="D471" s="375">
        <v>171.5</v>
      </c>
      <c r="E471" s="375">
        <v>76.2</v>
      </c>
      <c r="F471" s="375">
        <v>69.900000000000006</v>
      </c>
      <c r="G471" s="17">
        <f t="shared" ref="G471:G473" si="58">((E471+F471)/2)*D471*C471/10^6</f>
        <v>2.5457048400000004</v>
      </c>
      <c r="K471" s="59"/>
      <c r="L471" s="20"/>
      <c r="M471" s="20"/>
      <c r="N471" s="20"/>
      <c r="O471" s="20"/>
      <c r="P471" s="20"/>
      <c r="Q471" s="23"/>
      <c r="R471" s="22" t="s">
        <v>16</v>
      </c>
      <c r="S471" s="22" t="s">
        <v>16</v>
      </c>
      <c r="T471" s="20">
        <f t="shared" si="57"/>
        <v>4980.6110384521844</v>
      </c>
      <c r="U471" s="22">
        <v>1</v>
      </c>
    </row>
    <row r="472" spans="1:22">
      <c r="A472" s="375" t="s">
        <v>1140</v>
      </c>
      <c r="B472" s="375" t="s">
        <v>22</v>
      </c>
      <c r="C472" s="375">
        <v>203.2</v>
      </c>
      <c r="D472" s="375">
        <v>171.5</v>
      </c>
      <c r="E472" s="375">
        <v>76.2</v>
      </c>
      <c r="F472" s="375">
        <v>63.5</v>
      </c>
      <c r="G472" s="17">
        <f t="shared" si="58"/>
        <v>2.4341886799999997</v>
      </c>
      <c r="K472" s="59"/>
      <c r="L472" s="20"/>
      <c r="M472" s="20"/>
      <c r="N472" s="20"/>
      <c r="O472" s="20"/>
      <c r="P472" s="20"/>
      <c r="Q472" s="23"/>
      <c r="R472" s="22" t="s">
        <v>16</v>
      </c>
      <c r="S472" s="22" t="s">
        <v>16</v>
      </c>
      <c r="T472" s="20">
        <f t="shared" si="57"/>
        <v>2471.6059556490795</v>
      </c>
      <c r="U472" s="22">
        <v>1</v>
      </c>
    </row>
    <row r="473" spans="1:22">
      <c r="A473" s="375" t="s">
        <v>1478</v>
      </c>
      <c r="B473" s="487" t="s">
        <v>22</v>
      </c>
      <c r="C473" s="375">
        <v>203.2</v>
      </c>
      <c r="D473" s="375">
        <v>171.5</v>
      </c>
      <c r="E473" s="375">
        <v>57.2</v>
      </c>
      <c r="F473" s="375">
        <v>50.8</v>
      </c>
      <c r="G473" s="17">
        <f t="shared" si="58"/>
        <v>1.8818352</v>
      </c>
      <c r="K473" s="59"/>
      <c r="L473" s="20"/>
      <c r="M473" s="20"/>
      <c r="N473" s="20"/>
      <c r="O473" s="20"/>
      <c r="P473" s="20"/>
      <c r="Q473" s="23"/>
      <c r="R473" s="22" t="s">
        <v>16</v>
      </c>
      <c r="S473" s="22" t="s">
        <v>16</v>
      </c>
      <c r="T473" s="20">
        <f t="shared" si="57"/>
        <v>3696.1582393073995</v>
      </c>
      <c r="U473" s="22">
        <v>1</v>
      </c>
    </row>
    <row r="474" spans="1:22">
      <c r="A474" s="383" t="s">
        <v>1139</v>
      </c>
      <c r="B474" s="447" t="s">
        <v>22</v>
      </c>
      <c r="C474" s="379">
        <v>228.6</v>
      </c>
      <c r="D474" s="379">
        <v>50.8</v>
      </c>
      <c r="E474" s="379">
        <v>76.2</v>
      </c>
      <c r="F474" s="379">
        <v>69.900000000000006</v>
      </c>
      <c r="G474" s="17">
        <f t="shared" ref="G474:G521" si="59">((E474+F474)/2)*D474*C474/10^6</f>
        <v>0.84832088400000005</v>
      </c>
      <c r="K474" s="59"/>
      <c r="L474" s="20"/>
      <c r="M474" s="20"/>
      <c r="N474" s="20"/>
      <c r="O474" s="20"/>
      <c r="P474" s="20"/>
      <c r="Q474" s="23"/>
      <c r="R474" s="22" t="s">
        <v>16</v>
      </c>
      <c r="S474" s="22" t="s">
        <v>16</v>
      </c>
      <c r="T474" s="20">
        <f t="shared" si="57"/>
        <v>5603.0461502322723</v>
      </c>
      <c r="U474" s="22">
        <v>1</v>
      </c>
    </row>
    <row r="475" spans="1:22">
      <c r="A475" s="383" t="s">
        <v>1483</v>
      </c>
      <c r="B475" s="447" t="s">
        <v>22</v>
      </c>
      <c r="C475" s="379">
        <v>228.6</v>
      </c>
      <c r="D475" s="379">
        <v>50.8</v>
      </c>
      <c r="E475" s="379">
        <v>76.2</v>
      </c>
      <c r="F475" s="379">
        <v>63.5</v>
      </c>
      <c r="G475" s="17">
        <f t="shared" si="59"/>
        <v>0.81115966799999994</v>
      </c>
      <c r="K475" s="59"/>
      <c r="L475" s="20"/>
      <c r="M475" s="20"/>
      <c r="N475" s="20"/>
      <c r="O475" s="20"/>
      <c r="P475" s="20"/>
      <c r="Q475" s="23"/>
      <c r="R475" s="22" t="s">
        <v>16</v>
      </c>
      <c r="S475" s="22" t="s">
        <v>16</v>
      </c>
      <c r="T475" s="20">
        <f t="shared" si="57"/>
        <v>2780.2720154689896</v>
      </c>
      <c r="U475" s="22">
        <v>1</v>
      </c>
    </row>
    <row r="476" spans="1:22">
      <c r="A476" s="383" t="s">
        <v>1132</v>
      </c>
      <c r="B476" s="447" t="s">
        <v>22</v>
      </c>
      <c r="C476" s="379">
        <v>228.6</v>
      </c>
      <c r="D476" s="379">
        <v>63.5</v>
      </c>
      <c r="E476" s="379">
        <v>76.2</v>
      </c>
      <c r="F476" s="379">
        <v>69.900000000000006</v>
      </c>
      <c r="G476" s="17">
        <f t="shared" si="59"/>
        <v>1.0604011050000002</v>
      </c>
      <c r="K476" s="59"/>
      <c r="L476" s="20"/>
      <c r="M476" s="20"/>
      <c r="N476" s="20"/>
      <c r="O476" s="20"/>
      <c r="P476" s="20"/>
      <c r="Q476" s="23"/>
      <c r="R476" s="22" t="s">
        <v>16</v>
      </c>
      <c r="S476" s="22" t="s">
        <v>16</v>
      </c>
      <c r="T476" s="20">
        <f t="shared" si="57"/>
        <v>5603.0461502322723</v>
      </c>
      <c r="U476" s="22">
        <v>1</v>
      </c>
    </row>
    <row r="477" spans="1:22">
      <c r="A477" s="383" t="s">
        <v>1149</v>
      </c>
      <c r="B477" s="447" t="s">
        <v>22</v>
      </c>
      <c r="C477" s="379">
        <v>228.6</v>
      </c>
      <c r="D477" s="379">
        <v>63.5</v>
      </c>
      <c r="E477" s="379">
        <v>76.2</v>
      </c>
      <c r="F477" s="379">
        <v>63.5</v>
      </c>
      <c r="G477" s="17">
        <f t="shared" si="59"/>
        <v>1.0139495849999998</v>
      </c>
      <c r="K477" s="59"/>
      <c r="L477" s="20"/>
      <c r="M477" s="20"/>
      <c r="N477" s="20"/>
      <c r="O477" s="20"/>
      <c r="P477" s="20"/>
      <c r="Q477" s="23"/>
      <c r="R477" s="22" t="s">
        <v>16</v>
      </c>
      <c r="S477" s="22" t="s">
        <v>16</v>
      </c>
      <c r="T477" s="20">
        <f t="shared" si="57"/>
        <v>2780.2720154689896</v>
      </c>
      <c r="U477" s="22">
        <v>1</v>
      </c>
    </row>
    <row r="478" spans="1:22">
      <c r="A478" s="383" t="s">
        <v>1115</v>
      </c>
      <c r="B478" s="447" t="s">
        <v>22</v>
      </c>
      <c r="C478" s="379">
        <v>228.6</v>
      </c>
      <c r="D478" s="379">
        <v>76.2</v>
      </c>
      <c r="E478" s="379">
        <v>76.2</v>
      </c>
      <c r="F478" s="379">
        <v>69.900000000000006</v>
      </c>
      <c r="G478" s="17">
        <f t="shared" si="59"/>
        <v>1.2724813260000001</v>
      </c>
      <c r="K478" s="59"/>
      <c r="L478" s="20"/>
      <c r="M478" s="20"/>
      <c r="N478" s="20"/>
      <c r="O478" s="20"/>
      <c r="P478" s="20"/>
      <c r="Q478" s="23"/>
      <c r="R478" s="22" t="s">
        <v>16</v>
      </c>
      <c r="S478" s="22" t="s">
        <v>16</v>
      </c>
      <c r="T478" s="20">
        <f t="shared" si="57"/>
        <v>5603.0461502322723</v>
      </c>
      <c r="U478" s="22">
        <v>1</v>
      </c>
    </row>
    <row r="479" spans="1:22">
      <c r="A479" s="383" t="s">
        <v>1114</v>
      </c>
      <c r="B479" s="447" t="s">
        <v>22</v>
      </c>
      <c r="C479" s="379">
        <v>228.6</v>
      </c>
      <c r="D479" s="379">
        <v>76.2</v>
      </c>
      <c r="E479" s="379">
        <v>76.2</v>
      </c>
      <c r="F479" s="379">
        <v>63.5</v>
      </c>
      <c r="G479" s="17">
        <f t="shared" si="59"/>
        <v>1.2167395019999998</v>
      </c>
      <c r="K479" s="59"/>
      <c r="L479" s="20"/>
      <c r="M479" s="20"/>
      <c r="N479" s="20"/>
      <c r="O479" s="20"/>
      <c r="P479" s="20"/>
      <c r="Q479" s="23"/>
      <c r="R479" s="22" t="s">
        <v>16</v>
      </c>
      <c r="S479" s="22" t="s">
        <v>16</v>
      </c>
      <c r="T479" s="20">
        <f t="shared" si="57"/>
        <v>2780.2720154689896</v>
      </c>
      <c r="U479" s="22">
        <v>1</v>
      </c>
    </row>
    <row r="480" spans="1:22">
      <c r="A480" s="383" t="s">
        <v>1481</v>
      </c>
      <c r="B480" s="447" t="s">
        <v>22</v>
      </c>
      <c r="C480" s="379">
        <v>228.6</v>
      </c>
      <c r="D480" s="379">
        <v>76.2</v>
      </c>
      <c r="E480" s="379">
        <v>76.2</v>
      </c>
      <c r="F480" s="379">
        <v>57.2</v>
      </c>
      <c r="G480" s="17">
        <f t="shared" si="59"/>
        <v>1.1618686439999999</v>
      </c>
      <c r="K480" s="59"/>
      <c r="L480" s="20"/>
      <c r="M480" s="20"/>
      <c r="N480" s="20"/>
      <c r="O480" s="20"/>
      <c r="P480" s="20"/>
      <c r="Q480" s="23"/>
      <c r="R480" s="22" t="s">
        <v>16</v>
      </c>
      <c r="S480" s="22" t="s">
        <v>16</v>
      </c>
      <c r="T480" s="20">
        <f t="shared" si="57"/>
        <v>1859.2792094778763</v>
      </c>
      <c r="U480" s="22">
        <v>1</v>
      </c>
    </row>
    <row r="481" spans="1:21">
      <c r="A481" s="383" t="s">
        <v>1480</v>
      </c>
      <c r="B481" s="447" t="s">
        <v>22</v>
      </c>
      <c r="C481" s="379">
        <v>228.6</v>
      </c>
      <c r="D481" s="379">
        <v>76.2</v>
      </c>
      <c r="E481" s="379">
        <v>76.2</v>
      </c>
      <c r="F481" s="379">
        <v>50.8</v>
      </c>
      <c r="G481" s="17">
        <f t="shared" si="59"/>
        <v>1.1061268199999998</v>
      </c>
      <c r="K481" s="59"/>
      <c r="L481" s="20"/>
      <c r="M481" s="20"/>
      <c r="N481" s="20"/>
      <c r="O481" s="20"/>
      <c r="P481" s="20"/>
      <c r="Q481" s="23"/>
      <c r="R481" s="22" t="s">
        <v>16</v>
      </c>
      <c r="S481" s="22" t="s">
        <v>16</v>
      </c>
      <c r="T481" s="20">
        <f t="shared" si="57"/>
        <v>1391.7427923290995</v>
      </c>
      <c r="U481" s="22">
        <v>1</v>
      </c>
    </row>
    <row r="482" spans="1:21">
      <c r="A482" s="383" t="s">
        <v>1484</v>
      </c>
      <c r="B482" s="447" t="s">
        <v>22</v>
      </c>
      <c r="C482" s="379">
        <v>228.6</v>
      </c>
      <c r="D482" s="379">
        <v>76.2</v>
      </c>
      <c r="E482" s="379">
        <v>101.6</v>
      </c>
      <c r="F482" s="379">
        <v>95.3</v>
      </c>
      <c r="G482" s="17">
        <f t="shared" si="59"/>
        <v>1.7149320539999997</v>
      </c>
      <c r="K482" s="59"/>
      <c r="L482" s="20"/>
      <c r="M482" s="20"/>
      <c r="N482" s="20"/>
      <c r="O482" s="20"/>
      <c r="P482" s="20"/>
      <c r="Q482" s="23"/>
      <c r="R482" s="22" t="s">
        <v>16</v>
      </c>
      <c r="S482" s="22" t="s">
        <v>16</v>
      </c>
      <c r="T482" s="20">
        <f t="shared" si="57"/>
        <v>7446.5354276402986</v>
      </c>
      <c r="U482" s="22">
        <v>1</v>
      </c>
    </row>
    <row r="483" spans="1:21">
      <c r="A483" s="383" t="s">
        <v>1479</v>
      </c>
      <c r="B483" s="447" t="s">
        <v>22</v>
      </c>
      <c r="C483" s="379">
        <v>228.6</v>
      </c>
      <c r="D483" s="379">
        <v>76.2</v>
      </c>
      <c r="E483" s="379">
        <v>114.3</v>
      </c>
      <c r="F483" s="379">
        <v>101.6</v>
      </c>
      <c r="G483" s="17">
        <f t="shared" si="59"/>
        <v>1.8804155939999998</v>
      </c>
      <c r="K483" s="59"/>
      <c r="L483" s="20"/>
      <c r="M483" s="20"/>
      <c r="N483" s="20"/>
      <c r="O483" s="20"/>
      <c r="P483" s="20"/>
      <c r="Q483" s="23"/>
      <c r="R483" s="22" t="s">
        <v>16</v>
      </c>
      <c r="S483" s="22" t="s">
        <v>16</v>
      </c>
      <c r="T483" s="20">
        <f t="shared" si="57"/>
        <v>4152.401080098115</v>
      </c>
      <c r="U483" s="22">
        <v>1</v>
      </c>
    </row>
    <row r="484" spans="1:21">
      <c r="A484" s="383" t="s">
        <v>1482</v>
      </c>
      <c r="B484" s="447" t="s">
        <v>22</v>
      </c>
      <c r="C484" s="379">
        <v>228.6</v>
      </c>
      <c r="D484" s="379">
        <v>101.6</v>
      </c>
      <c r="E484" s="379">
        <v>76.2</v>
      </c>
      <c r="F484" s="379">
        <v>69.900000000000006</v>
      </c>
      <c r="G484" s="17">
        <f t="shared" si="59"/>
        <v>1.6966417680000001</v>
      </c>
      <c r="K484" s="59"/>
      <c r="L484" s="20"/>
      <c r="M484" s="20"/>
      <c r="N484" s="20"/>
      <c r="O484" s="20"/>
      <c r="P484" s="20"/>
      <c r="Q484" s="23"/>
      <c r="R484" s="22" t="s">
        <v>16</v>
      </c>
      <c r="S484" s="22" t="s">
        <v>16</v>
      </c>
      <c r="T484" s="20">
        <f t="shared" si="57"/>
        <v>5603.0461502322723</v>
      </c>
      <c r="U484" s="22">
        <v>1</v>
      </c>
    </row>
    <row r="485" spans="1:21">
      <c r="A485" s="383" t="s">
        <v>1119</v>
      </c>
      <c r="B485" s="447" t="s">
        <v>22</v>
      </c>
      <c r="C485" s="379">
        <v>228.6</v>
      </c>
      <c r="D485" s="379">
        <v>114.3</v>
      </c>
      <c r="E485" s="379">
        <v>76.2</v>
      </c>
      <c r="F485" s="379">
        <v>73</v>
      </c>
      <c r="G485" s="17">
        <f t="shared" si="59"/>
        <v>1.9492219079999995</v>
      </c>
      <c r="K485" s="59"/>
      <c r="L485" s="20"/>
      <c r="M485" s="20"/>
      <c r="N485" s="20"/>
      <c r="O485" s="20"/>
      <c r="P485" s="20"/>
      <c r="Q485" s="23"/>
      <c r="R485" s="22" t="s">
        <v>16</v>
      </c>
      <c r="S485" s="22" t="s">
        <v>16</v>
      </c>
      <c r="T485" s="20">
        <f t="shared" si="57"/>
        <v>11030.220162920583</v>
      </c>
      <c r="U485" s="22">
        <v>1</v>
      </c>
    </row>
    <row r="486" spans="1:21">
      <c r="A486" s="383" t="s">
        <v>1126</v>
      </c>
      <c r="B486" s="447" t="s">
        <v>22</v>
      </c>
      <c r="C486" s="379">
        <v>228.6</v>
      </c>
      <c r="D486" s="379">
        <v>114.3</v>
      </c>
      <c r="E486" s="379">
        <v>76.2</v>
      </c>
      <c r="F486" s="379">
        <v>69.900000000000006</v>
      </c>
      <c r="G486" s="17">
        <f t="shared" si="59"/>
        <v>1.9087219890000002</v>
      </c>
      <c r="K486" s="59"/>
      <c r="L486" s="20"/>
      <c r="M486" s="20"/>
      <c r="N486" s="20"/>
      <c r="O486" s="20"/>
      <c r="P486" s="20"/>
      <c r="Q486" s="23"/>
      <c r="R486" s="22" t="s">
        <v>16</v>
      </c>
      <c r="S486" s="22" t="s">
        <v>16</v>
      </c>
      <c r="T486" s="20">
        <f t="shared" si="57"/>
        <v>5603.0461502322723</v>
      </c>
      <c r="U486" s="22">
        <v>1</v>
      </c>
    </row>
    <row r="487" spans="1:21">
      <c r="A487" s="383" t="s">
        <v>1123</v>
      </c>
      <c r="B487" s="447" t="s">
        <v>22</v>
      </c>
      <c r="C487" s="379">
        <v>228.6</v>
      </c>
      <c r="D487" s="379">
        <v>114.3</v>
      </c>
      <c r="E487" s="379">
        <v>76.2</v>
      </c>
      <c r="F487" s="379">
        <v>63.5</v>
      </c>
      <c r="G487" s="17">
        <f t="shared" si="59"/>
        <v>1.8251092529999997</v>
      </c>
      <c r="K487" s="59"/>
      <c r="L487" s="20"/>
      <c r="M487" s="20"/>
      <c r="N487" s="20"/>
      <c r="O487" s="20"/>
      <c r="P487" s="20"/>
      <c r="Q487" s="23"/>
      <c r="R487" s="22" t="s">
        <v>16</v>
      </c>
      <c r="S487" s="22" t="s">
        <v>16</v>
      </c>
      <c r="T487" s="20">
        <f t="shared" si="57"/>
        <v>2780.2720154689896</v>
      </c>
      <c r="U487" s="22">
        <v>1</v>
      </c>
    </row>
    <row r="488" spans="1:21">
      <c r="A488" s="383" t="s">
        <v>1493</v>
      </c>
      <c r="B488" s="447" t="s">
        <v>22</v>
      </c>
      <c r="C488" s="379">
        <v>228.6</v>
      </c>
      <c r="D488" s="379">
        <v>114.3</v>
      </c>
      <c r="E488" s="379">
        <v>76.2</v>
      </c>
      <c r="F488" s="379">
        <v>57.2</v>
      </c>
      <c r="G488" s="17">
        <f t="shared" si="59"/>
        <v>1.742802966</v>
      </c>
      <c r="K488" s="59"/>
      <c r="L488" s="20"/>
      <c r="M488" s="20"/>
      <c r="N488" s="20"/>
      <c r="O488" s="20"/>
      <c r="P488" s="20"/>
      <c r="Q488" s="23"/>
      <c r="R488" s="22" t="s">
        <v>16</v>
      </c>
      <c r="S488" s="22" t="s">
        <v>16</v>
      </c>
      <c r="T488" s="20">
        <f t="shared" si="57"/>
        <v>1859.2792094778763</v>
      </c>
      <c r="U488" s="22">
        <v>1</v>
      </c>
    </row>
    <row r="489" spans="1:21">
      <c r="A489" s="383" t="s">
        <v>1124</v>
      </c>
      <c r="B489" s="447" t="s">
        <v>22</v>
      </c>
      <c r="C489" s="379">
        <v>228.6</v>
      </c>
      <c r="D489" s="379">
        <v>114.3</v>
      </c>
      <c r="E489" s="379">
        <v>76.2</v>
      </c>
      <c r="F489" s="379">
        <v>50.8</v>
      </c>
      <c r="G489" s="17">
        <f t="shared" si="59"/>
        <v>1.6591902299999999</v>
      </c>
      <c r="K489" s="59"/>
      <c r="L489" s="20"/>
      <c r="M489" s="20"/>
      <c r="N489" s="20"/>
      <c r="O489" s="20"/>
      <c r="P489" s="20"/>
      <c r="Q489" s="23"/>
      <c r="R489" s="22" t="s">
        <v>16</v>
      </c>
      <c r="S489" s="22" t="s">
        <v>16</v>
      </c>
      <c r="T489" s="20">
        <f t="shared" si="57"/>
        <v>1391.7427923290995</v>
      </c>
      <c r="U489" s="22">
        <v>1</v>
      </c>
    </row>
    <row r="490" spans="1:21">
      <c r="A490" s="383" t="s">
        <v>1145</v>
      </c>
      <c r="B490" s="447" t="s">
        <v>22</v>
      </c>
      <c r="C490" s="379">
        <v>228.6</v>
      </c>
      <c r="D490" s="379">
        <v>114.3</v>
      </c>
      <c r="E490" s="379">
        <v>76.2</v>
      </c>
      <c r="F490" s="379">
        <v>38.1</v>
      </c>
      <c r="G490" s="17">
        <f t="shared" si="59"/>
        <v>1.4932712070000003</v>
      </c>
      <c r="K490" s="59"/>
      <c r="L490" s="20"/>
      <c r="M490" s="20"/>
      <c r="N490" s="20"/>
      <c r="O490" s="20"/>
      <c r="P490" s="20"/>
      <c r="Q490" s="23"/>
      <c r="R490" s="22" t="s">
        <v>16</v>
      </c>
      <c r="S490" s="22" t="s">
        <v>16</v>
      </c>
      <c r="T490" s="20">
        <f t="shared" si="57"/>
        <v>929.61110148276509</v>
      </c>
      <c r="U490" s="22">
        <v>1</v>
      </c>
    </row>
    <row r="491" spans="1:21">
      <c r="A491" s="383" t="s">
        <v>1492</v>
      </c>
      <c r="B491" s="447" t="s">
        <v>22</v>
      </c>
      <c r="C491" s="379">
        <v>228.6</v>
      </c>
      <c r="D491" s="379">
        <v>114.3</v>
      </c>
      <c r="E491" s="379">
        <v>101.6</v>
      </c>
      <c r="F491" s="379">
        <v>69.900000000000006</v>
      </c>
      <c r="G491" s="17">
        <f t="shared" si="59"/>
        <v>2.2405600350000001</v>
      </c>
      <c r="K491" s="59"/>
      <c r="L491" s="20"/>
      <c r="M491" s="20"/>
      <c r="N491" s="20"/>
      <c r="O491" s="20"/>
      <c r="P491" s="20"/>
      <c r="Q491" s="23"/>
      <c r="R491" s="22" t="s">
        <v>16</v>
      </c>
      <c r="S491" s="22" t="s">
        <v>16</v>
      </c>
      <c r="T491" s="20">
        <f t="shared" si="57"/>
        <v>1483.322972204583</v>
      </c>
      <c r="U491" s="22">
        <v>1</v>
      </c>
    </row>
    <row r="492" spans="1:21">
      <c r="A492" s="383" t="s">
        <v>1491</v>
      </c>
      <c r="B492" s="447" t="s">
        <v>22</v>
      </c>
      <c r="C492" s="379">
        <v>228.6</v>
      </c>
      <c r="D492" s="379">
        <v>114.3</v>
      </c>
      <c r="E492" s="379">
        <v>101.6</v>
      </c>
      <c r="F492" s="379">
        <v>63.5</v>
      </c>
      <c r="G492" s="17">
        <f t="shared" si="59"/>
        <v>2.156947299</v>
      </c>
      <c r="K492" s="59"/>
      <c r="L492" s="20"/>
      <c r="M492" s="20"/>
      <c r="N492" s="20"/>
      <c r="O492" s="20"/>
      <c r="P492" s="20"/>
      <c r="Q492" s="23"/>
      <c r="R492" s="22" t="s">
        <v>16</v>
      </c>
      <c r="S492" s="22" t="s">
        <v>16</v>
      </c>
      <c r="T492" s="20">
        <f t="shared" si="57"/>
        <v>1235.4676037840895</v>
      </c>
      <c r="U492" s="22">
        <v>1</v>
      </c>
    </row>
    <row r="493" spans="1:21">
      <c r="A493" s="383" t="s">
        <v>1136</v>
      </c>
      <c r="B493" s="447" t="s">
        <v>22</v>
      </c>
      <c r="C493" s="379">
        <v>228.6</v>
      </c>
      <c r="D493" s="379">
        <v>114.3</v>
      </c>
      <c r="E493" s="379">
        <v>100</v>
      </c>
      <c r="F493" s="379">
        <v>95</v>
      </c>
      <c r="G493" s="17">
        <f t="shared" si="59"/>
        <v>2.5475755499999999</v>
      </c>
      <c r="K493" s="59"/>
      <c r="L493" s="20"/>
      <c r="M493" s="20"/>
      <c r="N493" s="20"/>
      <c r="O493" s="20"/>
      <c r="P493" s="20"/>
      <c r="Q493" s="23"/>
      <c r="R493" s="22" t="s">
        <v>16</v>
      </c>
      <c r="S493" s="22" t="s">
        <v>16</v>
      </c>
      <c r="T493" s="20">
        <f t="shared" si="57"/>
        <v>9235.9922582037689</v>
      </c>
      <c r="U493" s="22">
        <v>1</v>
      </c>
    </row>
    <row r="494" spans="1:21">
      <c r="A494" s="383" t="s">
        <v>1138</v>
      </c>
      <c r="B494" s="447" t="s">
        <v>22</v>
      </c>
      <c r="C494" s="379">
        <v>228.6</v>
      </c>
      <c r="D494" s="379">
        <v>127</v>
      </c>
      <c r="E494" s="379">
        <v>76.2</v>
      </c>
      <c r="F494" s="379">
        <v>69.900000000000006</v>
      </c>
      <c r="G494" s="17">
        <f t="shared" si="59"/>
        <v>2.1208022100000004</v>
      </c>
      <c r="K494" s="59"/>
      <c r="L494" s="20"/>
      <c r="M494" s="20"/>
      <c r="N494" s="20"/>
      <c r="O494" s="20"/>
      <c r="P494" s="20"/>
      <c r="Q494" s="23"/>
      <c r="R494" s="22" t="s">
        <v>16</v>
      </c>
      <c r="S494" s="22" t="s">
        <v>16</v>
      </c>
      <c r="T494" s="20">
        <f t="shared" si="57"/>
        <v>5603.0461502322723</v>
      </c>
      <c r="U494" s="22">
        <v>1</v>
      </c>
    </row>
    <row r="495" spans="1:21">
      <c r="A495" s="383" t="s">
        <v>1142</v>
      </c>
      <c r="B495" s="447" t="s">
        <v>22</v>
      </c>
      <c r="C495" s="379">
        <v>228.6</v>
      </c>
      <c r="D495" s="379">
        <v>127</v>
      </c>
      <c r="E495" s="379">
        <v>76.2</v>
      </c>
      <c r="F495" s="379">
        <v>63.5</v>
      </c>
      <c r="G495" s="17">
        <f t="shared" si="59"/>
        <v>2.0278991699999995</v>
      </c>
      <c r="K495" s="59"/>
      <c r="L495" s="20"/>
      <c r="M495" s="20"/>
      <c r="N495" s="20"/>
      <c r="O495" s="20"/>
      <c r="P495" s="20"/>
      <c r="Q495" s="23"/>
      <c r="R495" s="22" t="s">
        <v>16</v>
      </c>
      <c r="S495" s="22" t="s">
        <v>16</v>
      </c>
      <c r="T495" s="20">
        <f t="shared" si="57"/>
        <v>2780.2720154689896</v>
      </c>
      <c r="U495" s="22">
        <v>1</v>
      </c>
    </row>
    <row r="496" spans="1:21">
      <c r="A496" s="383" t="s">
        <v>1143</v>
      </c>
      <c r="B496" s="447" t="s">
        <v>22</v>
      </c>
      <c r="C496" s="379">
        <v>228.6</v>
      </c>
      <c r="D496" s="379">
        <v>127</v>
      </c>
      <c r="E496" s="379">
        <v>76.2</v>
      </c>
      <c r="F496" s="379">
        <v>50.8</v>
      </c>
      <c r="G496" s="17">
        <f t="shared" si="59"/>
        <v>1.8435447</v>
      </c>
      <c r="K496" s="59"/>
      <c r="L496" s="20"/>
      <c r="M496" s="20"/>
      <c r="N496" s="20"/>
      <c r="O496" s="20"/>
      <c r="P496" s="20"/>
      <c r="Q496" s="23"/>
      <c r="R496" s="22" t="s">
        <v>16</v>
      </c>
      <c r="S496" s="22" t="s">
        <v>16</v>
      </c>
      <c r="T496" s="20">
        <f t="shared" si="57"/>
        <v>1391.7427923290995</v>
      </c>
      <c r="U496" s="22">
        <v>1</v>
      </c>
    </row>
    <row r="497" spans="1:21">
      <c r="A497" s="383" t="s">
        <v>1137</v>
      </c>
      <c r="B497" s="447" t="s">
        <v>22</v>
      </c>
      <c r="C497" s="379">
        <v>228.6</v>
      </c>
      <c r="D497" s="379">
        <v>127</v>
      </c>
      <c r="E497" s="379">
        <v>100</v>
      </c>
      <c r="F497" s="379">
        <v>95</v>
      </c>
      <c r="G497" s="17">
        <f t="shared" si="59"/>
        <v>2.8306395000000002</v>
      </c>
      <c r="K497" s="59"/>
      <c r="L497" s="20"/>
      <c r="M497" s="20"/>
      <c r="N497" s="20"/>
      <c r="O497" s="20"/>
      <c r="P497" s="20"/>
      <c r="Q497" s="23"/>
      <c r="R497" s="22" t="s">
        <v>16</v>
      </c>
      <c r="S497" s="22" t="s">
        <v>16</v>
      </c>
      <c r="T497" s="20">
        <f t="shared" si="57"/>
        <v>9235.9922582037689</v>
      </c>
      <c r="U497" s="22">
        <v>1</v>
      </c>
    </row>
    <row r="498" spans="1:21">
      <c r="A498" s="383" t="s">
        <v>1141</v>
      </c>
      <c r="B498" s="447" t="s">
        <v>22</v>
      </c>
      <c r="C498" s="379">
        <v>228.6</v>
      </c>
      <c r="D498" s="379">
        <v>127</v>
      </c>
      <c r="E498" s="379">
        <v>100</v>
      </c>
      <c r="F498" s="379">
        <v>90</v>
      </c>
      <c r="G498" s="17">
        <f t="shared" si="59"/>
        <v>2.7580589999999998</v>
      </c>
      <c r="K498" s="59"/>
      <c r="L498" s="20"/>
      <c r="M498" s="20"/>
      <c r="N498" s="20"/>
      <c r="O498" s="20"/>
      <c r="P498" s="20"/>
      <c r="Q498" s="23"/>
      <c r="R498" s="22" t="s">
        <v>16</v>
      </c>
      <c r="S498" s="22" t="s">
        <v>16</v>
      </c>
      <c r="T498" s="20">
        <f t="shared" si="57"/>
        <v>4618.8244173598978</v>
      </c>
      <c r="U498" s="22">
        <v>1</v>
      </c>
    </row>
    <row r="499" spans="1:21">
      <c r="A499" s="383" t="s">
        <v>1117</v>
      </c>
      <c r="B499" s="447" t="s">
        <v>22</v>
      </c>
      <c r="C499" s="379">
        <v>228.6</v>
      </c>
      <c r="D499" s="379">
        <v>152.4</v>
      </c>
      <c r="E499" s="379">
        <v>76.2</v>
      </c>
      <c r="F499" s="379">
        <v>69.900000000000006</v>
      </c>
      <c r="G499" s="17">
        <f t="shared" si="59"/>
        <v>2.5449626520000002</v>
      </c>
      <c r="K499" s="59"/>
      <c r="L499" s="20"/>
      <c r="M499" s="20"/>
      <c r="N499" s="20"/>
      <c r="O499" s="20"/>
      <c r="P499" s="20"/>
      <c r="Q499" s="23"/>
      <c r="R499" s="22" t="s">
        <v>16</v>
      </c>
      <c r="S499" s="22" t="s">
        <v>16</v>
      </c>
      <c r="T499" s="20">
        <f t="shared" si="57"/>
        <v>5603.0461502322723</v>
      </c>
      <c r="U499" s="22">
        <v>1</v>
      </c>
    </row>
    <row r="500" spans="1:21">
      <c r="A500" s="383" t="s">
        <v>1118</v>
      </c>
      <c r="B500" s="447" t="s">
        <v>22</v>
      </c>
      <c r="C500" s="379">
        <v>228.6</v>
      </c>
      <c r="D500" s="379">
        <v>152.4</v>
      </c>
      <c r="E500" s="379">
        <v>76.2</v>
      </c>
      <c r="F500" s="379">
        <v>63.5</v>
      </c>
      <c r="G500" s="17">
        <f t="shared" si="59"/>
        <v>2.4334790039999996</v>
      </c>
      <c r="K500" s="59"/>
      <c r="L500" s="20"/>
      <c r="M500" s="20"/>
      <c r="N500" s="20"/>
      <c r="O500" s="20"/>
      <c r="P500" s="20"/>
      <c r="Q500" s="23"/>
      <c r="R500" s="22" t="s">
        <v>16</v>
      </c>
      <c r="S500" s="22" t="s">
        <v>16</v>
      </c>
      <c r="T500" s="20">
        <f t="shared" si="57"/>
        <v>2780.2720154689896</v>
      </c>
      <c r="U500" s="22">
        <v>1</v>
      </c>
    </row>
    <row r="501" spans="1:21">
      <c r="A501" s="383" t="s">
        <v>1125</v>
      </c>
      <c r="B501" s="447" t="s">
        <v>22</v>
      </c>
      <c r="C501" s="379">
        <v>228.6</v>
      </c>
      <c r="D501" s="379">
        <v>152.4</v>
      </c>
      <c r="E501" s="379">
        <v>76.2</v>
      </c>
      <c r="F501" s="379">
        <v>50.8</v>
      </c>
      <c r="G501" s="17">
        <f t="shared" si="59"/>
        <v>2.2122536399999997</v>
      </c>
      <c r="K501" s="59"/>
      <c r="L501" s="20"/>
      <c r="M501" s="20"/>
      <c r="N501" s="20"/>
      <c r="O501" s="20"/>
      <c r="P501" s="20"/>
      <c r="Q501" s="23"/>
      <c r="R501" s="22" t="s">
        <v>16</v>
      </c>
      <c r="S501" s="22" t="s">
        <v>16</v>
      </c>
      <c r="T501" s="20">
        <f t="shared" si="57"/>
        <v>1391.7427923290995</v>
      </c>
      <c r="U501" s="22">
        <v>1</v>
      </c>
    </row>
    <row r="502" spans="1:21">
      <c r="A502" s="383" t="s">
        <v>1146</v>
      </c>
      <c r="B502" s="447" t="s">
        <v>22</v>
      </c>
      <c r="C502" s="379">
        <v>228.6</v>
      </c>
      <c r="D502" s="379">
        <v>152.4</v>
      </c>
      <c r="E502" s="379">
        <v>76.2</v>
      </c>
      <c r="F502" s="379">
        <v>38.1</v>
      </c>
      <c r="G502" s="17">
        <f t="shared" si="59"/>
        <v>1.9910282760000002</v>
      </c>
      <c r="K502" s="59"/>
      <c r="L502" s="20"/>
      <c r="M502" s="20"/>
      <c r="N502" s="20"/>
      <c r="O502" s="20"/>
      <c r="P502" s="20"/>
      <c r="Q502" s="23"/>
      <c r="R502" s="22" t="s">
        <v>16</v>
      </c>
      <c r="S502" s="22" t="s">
        <v>16</v>
      </c>
      <c r="T502" s="20">
        <f t="shared" si="57"/>
        <v>929.61110148276509</v>
      </c>
      <c r="U502" s="22">
        <v>1</v>
      </c>
    </row>
    <row r="503" spans="1:21">
      <c r="A503" s="383" t="s">
        <v>1116</v>
      </c>
      <c r="B503" s="447" t="s">
        <v>22</v>
      </c>
      <c r="C503" s="379">
        <v>228.6</v>
      </c>
      <c r="D503" s="379">
        <v>171.5</v>
      </c>
      <c r="E503" s="379">
        <v>76.2</v>
      </c>
      <c r="F503" s="379">
        <v>69.900000000000006</v>
      </c>
      <c r="G503" s="17">
        <f t="shared" si="59"/>
        <v>2.8639179450000003</v>
      </c>
      <c r="K503" s="59"/>
      <c r="L503" s="20"/>
      <c r="M503" s="20"/>
      <c r="N503" s="20"/>
      <c r="O503" s="20"/>
      <c r="P503" s="20"/>
      <c r="Q503" s="23"/>
      <c r="R503" s="22" t="s">
        <v>16</v>
      </c>
      <c r="S503" s="22" t="s">
        <v>16</v>
      </c>
      <c r="T503" s="20">
        <f t="shared" si="57"/>
        <v>5603.0461502322723</v>
      </c>
      <c r="U503" s="22">
        <v>1</v>
      </c>
    </row>
    <row r="504" spans="1:21">
      <c r="A504" s="383" t="s">
        <v>1130</v>
      </c>
      <c r="B504" s="447" t="s">
        <v>22</v>
      </c>
      <c r="C504" s="379">
        <v>228.6</v>
      </c>
      <c r="D504" s="379">
        <v>171.5</v>
      </c>
      <c r="E504" s="379">
        <v>76.2</v>
      </c>
      <c r="F504" s="379">
        <v>50.8</v>
      </c>
      <c r="G504" s="17">
        <f t="shared" si="59"/>
        <v>2.4895111499999998</v>
      </c>
      <c r="K504" s="59"/>
      <c r="L504" s="20"/>
      <c r="M504" s="20"/>
      <c r="N504" s="20"/>
      <c r="O504" s="20"/>
      <c r="P504" s="20"/>
      <c r="Q504" s="23"/>
      <c r="R504" s="22" t="s">
        <v>16</v>
      </c>
      <c r="S504" s="22" t="s">
        <v>16</v>
      </c>
      <c r="T504" s="20">
        <f t="shared" si="57"/>
        <v>1391.7427923290995</v>
      </c>
      <c r="U504" s="22">
        <v>1</v>
      </c>
    </row>
    <row r="505" spans="1:21">
      <c r="A505" s="383" t="s">
        <v>1147</v>
      </c>
      <c r="B505" s="447" t="s">
        <v>22</v>
      </c>
      <c r="C505" s="379">
        <v>228.6</v>
      </c>
      <c r="D505" s="379">
        <v>171.5</v>
      </c>
      <c r="E505" s="379">
        <v>76.2</v>
      </c>
      <c r="F505" s="379">
        <v>38.1</v>
      </c>
      <c r="G505" s="17">
        <f t="shared" si="59"/>
        <v>2.2405600350000001</v>
      </c>
      <c r="K505" s="59"/>
      <c r="L505" s="20"/>
      <c r="M505" s="20"/>
      <c r="N505" s="20"/>
      <c r="O505" s="20"/>
      <c r="P505" s="20"/>
      <c r="Q505" s="23"/>
      <c r="R505" s="22" t="s">
        <v>16</v>
      </c>
      <c r="S505" s="22" t="s">
        <v>16</v>
      </c>
      <c r="T505" s="20">
        <f t="shared" si="57"/>
        <v>929.61110148276509</v>
      </c>
      <c r="U505" s="22">
        <v>1</v>
      </c>
    </row>
    <row r="506" spans="1:21">
      <c r="A506" s="363" t="s">
        <v>1824</v>
      </c>
      <c r="B506" s="448" t="s">
        <v>22</v>
      </c>
      <c r="C506" s="382">
        <v>304.8</v>
      </c>
      <c r="D506" s="382">
        <v>114.3</v>
      </c>
      <c r="E506" s="382">
        <v>76.2</v>
      </c>
      <c r="F506" s="382">
        <v>73</v>
      </c>
      <c r="G506" s="17">
        <f t="shared" si="59"/>
        <v>2.5989625439999999</v>
      </c>
      <c r="K506" s="59"/>
      <c r="L506" s="20"/>
      <c r="M506" s="20"/>
      <c r="N506" s="20"/>
      <c r="O506" s="20"/>
      <c r="P506" s="20"/>
      <c r="Q506" s="23"/>
      <c r="R506" s="22" t="s">
        <v>16</v>
      </c>
      <c r="S506" s="22" t="s">
        <v>16</v>
      </c>
      <c r="T506" s="20">
        <f t="shared" si="57"/>
        <v>14706.802623276062</v>
      </c>
      <c r="U506" s="22">
        <v>1</v>
      </c>
    </row>
    <row r="507" spans="1:21">
      <c r="A507" s="363" t="s">
        <v>1104</v>
      </c>
      <c r="B507" s="448" t="s">
        <v>22</v>
      </c>
      <c r="C507" s="382">
        <v>304.8</v>
      </c>
      <c r="D507" s="382">
        <v>114.3</v>
      </c>
      <c r="E507" s="382">
        <v>76.2</v>
      </c>
      <c r="F507" s="382">
        <v>69.900000000000006</v>
      </c>
      <c r="G507" s="17">
        <f t="shared" si="59"/>
        <v>2.5449626520000006</v>
      </c>
      <c r="K507" s="59"/>
      <c r="L507" s="20"/>
      <c r="M507" s="20"/>
      <c r="N507" s="20"/>
      <c r="O507" s="20"/>
      <c r="P507" s="20"/>
      <c r="Q507" s="23"/>
      <c r="R507" s="22" t="s">
        <v>16</v>
      </c>
      <c r="S507" s="22" t="s">
        <v>16</v>
      </c>
      <c r="T507" s="20">
        <f t="shared" si="57"/>
        <v>7470.4179542908732</v>
      </c>
      <c r="U507" s="22">
        <v>1</v>
      </c>
    </row>
    <row r="508" spans="1:21">
      <c r="A508" s="363" t="s">
        <v>1105</v>
      </c>
      <c r="B508" s="448" t="s">
        <v>22</v>
      </c>
      <c r="C508" s="382">
        <v>304.8</v>
      </c>
      <c r="D508" s="382">
        <v>114.3</v>
      </c>
      <c r="E508" s="382">
        <v>76.2</v>
      </c>
      <c r="F508" s="382">
        <v>63.5</v>
      </c>
      <c r="G508" s="17">
        <f t="shared" si="59"/>
        <v>2.4334790040000001</v>
      </c>
      <c r="K508" s="59"/>
      <c r="L508" s="20"/>
      <c r="M508" s="20"/>
      <c r="N508" s="20"/>
      <c r="O508" s="20"/>
      <c r="P508" s="20"/>
      <c r="Q508" s="23"/>
      <c r="R508" s="22" t="s">
        <v>16</v>
      </c>
      <c r="S508" s="22" t="s">
        <v>16</v>
      </c>
      <c r="T508" s="20">
        <f t="shared" si="57"/>
        <v>3706.404079427929</v>
      </c>
      <c r="U508" s="22">
        <v>1</v>
      </c>
    </row>
    <row r="509" spans="1:21">
      <c r="A509" s="363" t="s">
        <v>1106</v>
      </c>
      <c r="B509" s="448" t="s">
        <v>22</v>
      </c>
      <c r="C509" s="382">
        <v>304.8</v>
      </c>
      <c r="D509" s="382">
        <v>114.3</v>
      </c>
      <c r="E509" s="382">
        <v>76.2</v>
      </c>
      <c r="F509" s="382">
        <v>50.8</v>
      </c>
      <c r="G509" s="17">
        <f t="shared" si="59"/>
        <v>2.2122536400000001</v>
      </c>
      <c r="K509" s="59"/>
      <c r="L509" s="20"/>
      <c r="M509" s="20"/>
      <c r="N509" s="20"/>
      <c r="O509" s="20"/>
      <c r="P509" s="20"/>
      <c r="Q509" s="23"/>
      <c r="R509" s="22" t="s">
        <v>16</v>
      </c>
      <c r="S509" s="22" t="s">
        <v>16</v>
      </c>
      <c r="T509" s="20">
        <f t="shared" si="57"/>
        <v>1854.40763587729</v>
      </c>
      <c r="U509" s="22">
        <v>1</v>
      </c>
    </row>
    <row r="510" spans="1:21">
      <c r="A510" s="363" t="s">
        <v>1485</v>
      </c>
      <c r="B510" s="448" t="s">
        <v>22</v>
      </c>
      <c r="C510" s="382">
        <v>304.8</v>
      </c>
      <c r="D510" s="382">
        <v>114.3</v>
      </c>
      <c r="E510" s="382">
        <v>76.2</v>
      </c>
      <c r="F510" s="382">
        <v>25.4</v>
      </c>
      <c r="G510" s="17">
        <f t="shared" si="59"/>
        <v>1.7698029120000001</v>
      </c>
      <c r="K510" s="59"/>
      <c r="L510" s="20"/>
      <c r="M510" s="20"/>
      <c r="N510" s="20"/>
      <c r="O510" s="20"/>
      <c r="P510" s="20"/>
      <c r="Q510" s="23"/>
      <c r="R510" s="22" t="s">
        <v>16</v>
      </c>
      <c r="S510" s="22" t="s">
        <v>16</v>
      </c>
      <c r="T510" s="20">
        <f t="shared" si="57"/>
        <v>929.61110148276509</v>
      </c>
      <c r="U510" s="22">
        <v>1</v>
      </c>
    </row>
    <row r="511" spans="1:21">
      <c r="A511" s="363" t="s">
        <v>1487</v>
      </c>
      <c r="B511" s="448" t="s">
        <v>22</v>
      </c>
      <c r="C511" s="382">
        <v>304.8</v>
      </c>
      <c r="D511" s="382">
        <v>152.4</v>
      </c>
      <c r="E511" s="382">
        <v>76.2</v>
      </c>
      <c r="F511" s="382">
        <v>73</v>
      </c>
      <c r="G511" s="17">
        <f t="shared" si="59"/>
        <v>3.4652833919999999</v>
      </c>
      <c r="K511" s="59"/>
      <c r="L511" s="20"/>
      <c r="M511" s="20"/>
      <c r="N511" s="20"/>
      <c r="O511" s="20"/>
      <c r="P511" s="20"/>
      <c r="Q511" s="23"/>
      <c r="R511" s="22" t="s">
        <v>16</v>
      </c>
      <c r="S511" s="22" t="s">
        <v>16</v>
      </c>
      <c r="T511" s="20">
        <f t="shared" si="57"/>
        <v>14706.802623276062</v>
      </c>
      <c r="U511" s="22">
        <v>1</v>
      </c>
    </row>
    <row r="512" spans="1:21">
      <c r="A512" s="363" t="s">
        <v>1107</v>
      </c>
      <c r="B512" s="448" t="s">
        <v>22</v>
      </c>
      <c r="C512" s="382">
        <v>304.8</v>
      </c>
      <c r="D512" s="382">
        <v>152.4</v>
      </c>
      <c r="E512" s="382">
        <v>76.2</v>
      </c>
      <c r="F512" s="382">
        <v>69.900000000000006</v>
      </c>
      <c r="G512" s="17">
        <f t="shared" si="59"/>
        <v>3.3932835360000007</v>
      </c>
      <c r="K512" s="59"/>
      <c r="L512" s="20"/>
      <c r="M512" s="20"/>
      <c r="N512" s="20"/>
      <c r="O512" s="20"/>
      <c r="P512" s="20"/>
      <c r="Q512" s="23"/>
      <c r="R512" s="22" t="s">
        <v>16</v>
      </c>
      <c r="S512" s="22" t="s">
        <v>16</v>
      </c>
      <c r="T512" s="20">
        <f t="shared" si="57"/>
        <v>7470.4179542908732</v>
      </c>
      <c r="U512" s="22">
        <v>1</v>
      </c>
    </row>
    <row r="513" spans="1:21">
      <c r="A513" s="363" t="s">
        <v>1122</v>
      </c>
      <c r="B513" s="448" t="s">
        <v>22</v>
      </c>
      <c r="C513" s="382">
        <v>304.8</v>
      </c>
      <c r="D513" s="382">
        <v>152.4</v>
      </c>
      <c r="E513" s="382">
        <v>76.2</v>
      </c>
      <c r="F513" s="382">
        <v>63.5</v>
      </c>
      <c r="G513" s="17">
        <f t="shared" si="59"/>
        <v>3.2446386719999998</v>
      </c>
      <c r="K513" s="59"/>
      <c r="L513" s="20"/>
      <c r="M513" s="20"/>
      <c r="N513" s="20"/>
      <c r="O513" s="20"/>
      <c r="P513" s="20"/>
      <c r="Q513" s="23"/>
      <c r="R513" s="22" t="s">
        <v>16</v>
      </c>
      <c r="S513" s="22" t="s">
        <v>16</v>
      </c>
      <c r="T513" s="20">
        <f t="shared" si="57"/>
        <v>3706.404079427929</v>
      </c>
      <c r="U513" s="22">
        <v>1</v>
      </c>
    </row>
    <row r="514" spans="1:21">
      <c r="A514" s="363" t="s">
        <v>1127</v>
      </c>
      <c r="B514" s="448" t="s">
        <v>22</v>
      </c>
      <c r="C514" s="382">
        <v>304.8</v>
      </c>
      <c r="D514" s="382">
        <v>152.4</v>
      </c>
      <c r="E514" s="382">
        <v>76.2</v>
      </c>
      <c r="F514" s="382">
        <v>50.8</v>
      </c>
      <c r="G514" s="17">
        <f t="shared" si="59"/>
        <v>2.9496715199999999</v>
      </c>
      <c r="K514" s="59"/>
      <c r="L514" s="20"/>
      <c r="M514" s="20"/>
      <c r="N514" s="20"/>
      <c r="O514" s="20"/>
      <c r="P514" s="20"/>
      <c r="Q514" s="23"/>
      <c r="R514" s="22" t="s">
        <v>16</v>
      </c>
      <c r="S514" s="22" t="s">
        <v>16</v>
      </c>
      <c r="T514" s="20">
        <f t="shared" si="57"/>
        <v>1854.40763587729</v>
      </c>
      <c r="U514" s="22">
        <v>1</v>
      </c>
    </row>
    <row r="515" spans="1:21">
      <c r="A515" s="363" t="s">
        <v>1486</v>
      </c>
      <c r="B515" s="448" t="s">
        <v>22</v>
      </c>
      <c r="C515" s="382">
        <v>304.8</v>
      </c>
      <c r="D515" s="382">
        <v>152.4</v>
      </c>
      <c r="E515" s="382">
        <v>76.2</v>
      </c>
      <c r="F515" s="382">
        <v>38.1</v>
      </c>
      <c r="G515" s="17">
        <f t="shared" si="59"/>
        <v>2.6547043680000009</v>
      </c>
      <c r="K515" s="59"/>
      <c r="L515" s="20"/>
      <c r="M515" s="20"/>
      <c r="N515" s="20"/>
      <c r="O515" s="20"/>
      <c r="P515" s="20"/>
      <c r="Q515" s="23"/>
      <c r="R515" s="22" t="s">
        <v>16</v>
      </c>
      <c r="S515" s="22" t="s">
        <v>16</v>
      </c>
      <c r="T515" s="20">
        <f t="shared" si="57"/>
        <v>1237.6101486332439</v>
      </c>
      <c r="U515" s="22">
        <v>1</v>
      </c>
    </row>
    <row r="516" spans="1:21">
      <c r="A516" s="363" t="s">
        <v>1489</v>
      </c>
      <c r="B516" s="448" t="s">
        <v>22</v>
      </c>
      <c r="C516" s="382">
        <v>304.8</v>
      </c>
      <c r="D516" s="382">
        <v>152.4</v>
      </c>
      <c r="E516" s="382">
        <v>76.2</v>
      </c>
      <c r="F516" s="382">
        <v>25.4</v>
      </c>
      <c r="G516" s="17">
        <f t="shared" si="59"/>
        <v>2.3597372160000001</v>
      </c>
      <c r="K516" s="59"/>
      <c r="L516" s="20"/>
      <c r="M516" s="20"/>
      <c r="N516" s="20"/>
      <c r="O516" s="20"/>
      <c r="P516" s="20"/>
      <c r="Q516" s="23"/>
      <c r="R516" s="22" t="s">
        <v>16</v>
      </c>
      <c r="S516" s="22" t="s">
        <v>16</v>
      </c>
      <c r="T516" s="20">
        <f t="shared" si="57"/>
        <v>929.61110148276509</v>
      </c>
      <c r="U516" s="22">
        <v>1</v>
      </c>
    </row>
    <row r="517" spans="1:21">
      <c r="A517" s="363" t="s">
        <v>1144</v>
      </c>
      <c r="B517" s="448" t="s">
        <v>22</v>
      </c>
      <c r="C517" s="382">
        <v>304.8</v>
      </c>
      <c r="D517" s="382">
        <v>171.5</v>
      </c>
      <c r="E517" s="382">
        <v>76.2</v>
      </c>
      <c r="F517" s="382">
        <v>50.8</v>
      </c>
      <c r="G517" s="17">
        <f t="shared" si="59"/>
        <v>3.3193482000000003</v>
      </c>
      <c r="K517" s="59"/>
      <c r="L517" s="20"/>
      <c r="M517" s="20"/>
      <c r="N517" s="20"/>
      <c r="O517" s="20"/>
      <c r="P517" s="20"/>
      <c r="Q517" s="23"/>
      <c r="R517" s="22" t="s">
        <v>16</v>
      </c>
      <c r="S517" s="22" t="s">
        <v>16</v>
      </c>
      <c r="T517" s="20">
        <f t="shared" si="57"/>
        <v>1854.40763587729</v>
      </c>
      <c r="U517" s="22">
        <v>1</v>
      </c>
    </row>
    <row r="518" spans="1:21">
      <c r="A518" s="363" t="s">
        <v>1490</v>
      </c>
      <c r="B518" s="448" t="s">
        <v>22</v>
      </c>
      <c r="C518" s="382">
        <v>304.8</v>
      </c>
      <c r="D518" s="382">
        <v>171.5</v>
      </c>
      <c r="E518" s="382">
        <v>76.2</v>
      </c>
      <c r="F518" s="382">
        <v>38.1</v>
      </c>
      <c r="G518" s="17">
        <f t="shared" si="59"/>
        <v>2.9874133800000005</v>
      </c>
      <c r="K518" s="59"/>
      <c r="L518" s="20"/>
      <c r="M518" s="20"/>
      <c r="N518" s="20"/>
      <c r="O518" s="20"/>
      <c r="P518" s="20"/>
      <c r="Q518" s="23"/>
      <c r="R518" s="22" t="s">
        <v>16</v>
      </c>
      <c r="S518" s="22" t="s">
        <v>16</v>
      </c>
      <c r="T518" s="20">
        <f t="shared" si="57"/>
        <v>1237.6101486332439</v>
      </c>
      <c r="U518" s="22">
        <v>1</v>
      </c>
    </row>
    <row r="519" spans="1:21">
      <c r="A519" s="363" t="s">
        <v>1488</v>
      </c>
      <c r="B519" s="448" t="s">
        <v>22</v>
      </c>
      <c r="C519" s="382">
        <v>304.8</v>
      </c>
      <c r="D519" s="382">
        <v>228.6</v>
      </c>
      <c r="E519" s="382">
        <v>76.2</v>
      </c>
      <c r="F519" s="382">
        <v>73</v>
      </c>
      <c r="G519" s="17">
        <f t="shared" si="59"/>
        <v>5.1979250879999999</v>
      </c>
      <c r="K519" s="59"/>
      <c r="L519" s="20"/>
      <c r="M519" s="20"/>
      <c r="N519" s="20"/>
      <c r="O519" s="20"/>
      <c r="P519" s="20"/>
      <c r="Q519" s="23"/>
      <c r="R519" s="22" t="s">
        <v>16</v>
      </c>
      <c r="S519" s="22" t="s">
        <v>16</v>
      </c>
      <c r="T519" s="20">
        <f t="shared" si="57"/>
        <v>14706.802623276062</v>
      </c>
      <c r="U519" s="22">
        <v>1</v>
      </c>
    </row>
    <row r="520" spans="1:21">
      <c r="A520" s="363" t="s">
        <v>1121</v>
      </c>
      <c r="B520" s="448" t="s">
        <v>22</v>
      </c>
      <c r="C520" s="382">
        <v>304.8</v>
      </c>
      <c r="D520" s="382">
        <v>228.6</v>
      </c>
      <c r="E520" s="382">
        <v>76.2</v>
      </c>
      <c r="F520" s="382">
        <v>69.900000000000006</v>
      </c>
      <c r="G520" s="17">
        <f t="shared" si="59"/>
        <v>5.0899253040000012</v>
      </c>
      <c r="K520" s="59"/>
      <c r="L520" s="20"/>
      <c r="M520" s="20"/>
      <c r="N520" s="20"/>
      <c r="O520" s="20"/>
      <c r="P520" s="20"/>
      <c r="Q520" s="23"/>
      <c r="R520" s="22" t="s">
        <v>16</v>
      </c>
      <c r="S520" s="22" t="s">
        <v>16</v>
      </c>
      <c r="T520" s="20">
        <f t="shared" si="57"/>
        <v>7470.4179542908732</v>
      </c>
      <c r="U520" s="22">
        <v>1</v>
      </c>
    </row>
    <row r="521" spans="1:21">
      <c r="A521" s="363" t="s">
        <v>1120</v>
      </c>
      <c r="B521" s="448" t="s">
        <v>22</v>
      </c>
      <c r="C521" s="382">
        <v>304.8</v>
      </c>
      <c r="D521" s="382">
        <v>228.6</v>
      </c>
      <c r="E521" s="382">
        <v>76.2</v>
      </c>
      <c r="F521" s="382">
        <v>63.5</v>
      </c>
      <c r="G521" s="17">
        <f t="shared" si="59"/>
        <v>4.8669580080000001</v>
      </c>
      <c r="K521" s="59"/>
      <c r="L521" s="20"/>
      <c r="M521" s="20"/>
      <c r="N521" s="20"/>
      <c r="O521" s="20"/>
      <c r="P521" s="20"/>
      <c r="Q521" s="23"/>
      <c r="R521" s="22" t="s">
        <v>16</v>
      </c>
      <c r="S521" s="22" t="s">
        <v>16</v>
      </c>
      <c r="T521" s="20">
        <f t="shared" si="57"/>
        <v>3706.404079427929</v>
      </c>
      <c r="U521" s="22">
        <v>1</v>
      </c>
    </row>
    <row r="522" spans="1:21">
      <c r="A522" s="434" t="s">
        <v>1501</v>
      </c>
      <c r="B522" s="449" t="s">
        <v>22</v>
      </c>
      <c r="C522" s="435">
        <v>381</v>
      </c>
      <c r="D522" s="435">
        <v>114.3</v>
      </c>
      <c r="E522" s="435">
        <v>76.2</v>
      </c>
      <c r="F522" s="435">
        <v>69.900000000000006</v>
      </c>
      <c r="G522" s="17">
        <f t="shared" ref="G522:G548" si="60">((E522+F522)/2)*D522*C522/10^6</f>
        <v>3.1812033150000003</v>
      </c>
      <c r="K522" s="59"/>
      <c r="L522" s="20"/>
      <c r="M522" s="20"/>
      <c r="N522" s="20"/>
      <c r="O522" s="20"/>
      <c r="P522" s="20"/>
      <c r="Q522" s="23"/>
      <c r="R522" s="22" t="s">
        <v>16</v>
      </c>
      <c r="S522" s="22" t="s">
        <v>16</v>
      </c>
      <c r="T522" s="20">
        <f t="shared" si="57"/>
        <v>9337.842937928659</v>
      </c>
      <c r="U522" s="22">
        <v>1</v>
      </c>
    </row>
    <row r="523" spans="1:21">
      <c r="A523" s="434" t="s">
        <v>1501</v>
      </c>
      <c r="B523" s="449" t="s">
        <v>22</v>
      </c>
      <c r="C523" s="435">
        <v>381</v>
      </c>
      <c r="D523" s="435">
        <v>114.3</v>
      </c>
      <c r="E523" s="435">
        <v>76.2</v>
      </c>
      <c r="F523" s="435">
        <v>63.5</v>
      </c>
      <c r="G523" s="17">
        <f>((E523+F523)/2)*D523*C523/10^6</f>
        <v>3.0418487549999997</v>
      </c>
      <c r="K523" s="59"/>
      <c r="L523" s="20"/>
      <c r="M523" s="20"/>
      <c r="N523" s="20"/>
      <c r="O523" s="20"/>
      <c r="P523" s="20"/>
      <c r="Q523" s="23"/>
      <c r="R523" s="22" t="s">
        <v>16</v>
      </c>
      <c r="S523" s="22" t="s">
        <v>16</v>
      </c>
      <c r="T523" s="20">
        <f t="shared" si="57"/>
        <v>4632.6432886636112</v>
      </c>
      <c r="U523" s="22">
        <v>1</v>
      </c>
    </row>
    <row r="524" spans="1:21">
      <c r="A524" s="434" t="s">
        <v>1494</v>
      </c>
      <c r="B524" s="449" t="s">
        <v>22</v>
      </c>
      <c r="C524" s="435">
        <v>381</v>
      </c>
      <c r="D524" s="435">
        <v>114.3</v>
      </c>
      <c r="E524" s="435">
        <v>76.2</v>
      </c>
      <c r="F524" s="435">
        <v>50.8</v>
      </c>
      <c r="G524" s="17">
        <f t="shared" si="60"/>
        <v>2.7653170500000002</v>
      </c>
      <c r="K524" s="59"/>
      <c r="L524" s="20"/>
      <c r="M524" s="20"/>
      <c r="N524" s="20"/>
      <c r="O524" s="20"/>
      <c r="P524" s="20"/>
      <c r="Q524" s="23"/>
      <c r="R524" s="22" t="s">
        <v>16</v>
      </c>
      <c r="S524" s="22" t="s">
        <v>16</v>
      </c>
      <c r="T524" s="20">
        <f t="shared" si="57"/>
        <v>2317.286309457681</v>
      </c>
      <c r="U524" s="22">
        <v>1</v>
      </c>
    </row>
    <row r="525" spans="1:21">
      <c r="A525" s="434" t="s">
        <v>1495</v>
      </c>
      <c r="B525" s="449" t="s">
        <v>22</v>
      </c>
      <c r="C525" s="435">
        <v>381</v>
      </c>
      <c r="D525" s="435">
        <v>152.4</v>
      </c>
      <c r="E525" s="435">
        <v>76.2</v>
      </c>
      <c r="F525" s="435">
        <v>69.900000000000006</v>
      </c>
      <c r="G525" s="17">
        <f t="shared" si="60"/>
        <v>4.2416044200000007</v>
      </c>
      <c r="K525" s="59"/>
      <c r="L525" s="20"/>
      <c r="M525" s="20"/>
      <c r="N525" s="20"/>
      <c r="O525" s="20"/>
      <c r="P525" s="20"/>
      <c r="Q525" s="23"/>
      <c r="R525" s="22" t="s">
        <v>16</v>
      </c>
      <c r="S525" s="22" t="s">
        <v>16</v>
      </c>
      <c r="T525" s="20">
        <f t="shared" si="57"/>
        <v>9337.842937928659</v>
      </c>
      <c r="U525" s="22">
        <v>1</v>
      </c>
    </row>
    <row r="526" spans="1:21">
      <c r="A526" s="434" t="s">
        <v>1129</v>
      </c>
      <c r="B526" s="449" t="s">
        <v>22</v>
      </c>
      <c r="C526" s="435">
        <v>381</v>
      </c>
      <c r="D526" s="435">
        <v>152.4</v>
      </c>
      <c r="E526" s="435">
        <v>76.2</v>
      </c>
      <c r="F526" s="435">
        <v>50.8</v>
      </c>
      <c r="G526" s="17">
        <f t="shared" si="60"/>
        <v>3.6870894000000001</v>
      </c>
      <c r="K526" s="59"/>
      <c r="L526" s="20"/>
      <c r="M526" s="20"/>
      <c r="N526" s="20"/>
      <c r="O526" s="20"/>
      <c r="P526" s="20"/>
      <c r="Q526" s="23"/>
      <c r="R526" s="22" t="s">
        <v>16</v>
      </c>
      <c r="S526" s="22" t="s">
        <v>16</v>
      </c>
      <c r="T526" s="20">
        <f t="shared" si="57"/>
        <v>2317.286309457681</v>
      </c>
      <c r="U526" s="22">
        <v>1</v>
      </c>
    </row>
    <row r="527" spans="1:21">
      <c r="A527" s="434" t="s">
        <v>1499</v>
      </c>
      <c r="B527" s="449" t="s">
        <v>22</v>
      </c>
      <c r="C527" s="435">
        <v>381</v>
      </c>
      <c r="D527" s="435">
        <v>152.4</v>
      </c>
      <c r="E527" s="435">
        <v>76.2</v>
      </c>
      <c r="F527" s="435">
        <v>38.1</v>
      </c>
      <c r="G527" s="17">
        <f t="shared" si="60"/>
        <v>3.3183804600000006</v>
      </c>
      <c r="K527" s="59"/>
      <c r="L527" s="20"/>
      <c r="M527" s="20"/>
      <c r="N527" s="20"/>
      <c r="O527" s="20"/>
      <c r="P527" s="20"/>
      <c r="Q527" s="23"/>
      <c r="R527" s="22" t="s">
        <v>16</v>
      </c>
      <c r="S527" s="22" t="s">
        <v>16</v>
      </c>
      <c r="T527" s="20">
        <f t="shared" si="57"/>
        <v>1545.9287952554607</v>
      </c>
      <c r="U527" s="22">
        <v>1</v>
      </c>
    </row>
    <row r="528" spans="1:21">
      <c r="A528" s="434" t="s">
        <v>1131</v>
      </c>
      <c r="B528" s="449" t="s">
        <v>22</v>
      </c>
      <c r="C528" s="435">
        <v>381</v>
      </c>
      <c r="D528" s="435">
        <v>152.4</v>
      </c>
      <c r="E528" s="435">
        <v>76.2</v>
      </c>
      <c r="F528" s="435">
        <v>63.5</v>
      </c>
      <c r="G528" s="17">
        <f>((E528+F528)/2)*D528*C528/10^6</f>
        <v>4.0557983399999999</v>
      </c>
      <c r="K528" s="59"/>
      <c r="L528" s="20"/>
      <c r="M528" s="20"/>
      <c r="N528" s="20"/>
      <c r="O528" s="20"/>
      <c r="P528" s="20"/>
      <c r="Q528" s="23"/>
      <c r="R528" s="22" t="s">
        <v>16</v>
      </c>
      <c r="S528" s="22" t="s">
        <v>16</v>
      </c>
      <c r="T528" s="20">
        <f t="shared" si="57"/>
        <v>4632.6432886636112</v>
      </c>
      <c r="U528" s="22">
        <v>1</v>
      </c>
    </row>
    <row r="529" spans="1:21">
      <c r="A529" s="434" t="s">
        <v>1500</v>
      </c>
      <c r="B529" s="449" t="s">
        <v>22</v>
      </c>
      <c r="C529" s="435">
        <v>381</v>
      </c>
      <c r="D529" s="435">
        <v>228.6</v>
      </c>
      <c r="E529" s="435">
        <v>76.2</v>
      </c>
      <c r="F529" s="435">
        <v>73</v>
      </c>
      <c r="G529" s="17">
        <f>((E529+F529)/2)*D529*C529/10^6</f>
        <v>6.4974063599999994</v>
      </c>
      <c r="K529" s="59"/>
      <c r="L529" s="20"/>
      <c r="M529" s="20"/>
      <c r="N529" s="20"/>
      <c r="O529" s="20"/>
      <c r="P529" s="20"/>
      <c r="Q529" s="23"/>
      <c r="R529" s="22" t="s">
        <v>16</v>
      </c>
      <c r="S529" s="22" t="s">
        <v>16</v>
      </c>
      <c r="T529" s="20">
        <f t="shared" si="57"/>
        <v>18383.412099022844</v>
      </c>
      <c r="U529" s="22">
        <v>1</v>
      </c>
    </row>
    <row r="530" spans="1:21">
      <c r="A530" s="434" t="s">
        <v>1497</v>
      </c>
      <c r="B530" s="449" t="s">
        <v>22</v>
      </c>
      <c r="C530" s="435">
        <v>381</v>
      </c>
      <c r="D530" s="435">
        <v>228.6</v>
      </c>
      <c r="E530" s="435">
        <v>76.2</v>
      </c>
      <c r="F530" s="435">
        <v>69.900000000000006</v>
      </c>
      <c r="G530" s="17">
        <f>((E530+F530)/2)*D530*C530/10^6</f>
        <v>6.3624066300000006</v>
      </c>
      <c r="K530" s="59"/>
      <c r="L530" s="20"/>
      <c r="M530" s="20"/>
      <c r="N530" s="20"/>
      <c r="O530" s="20"/>
      <c r="P530" s="20"/>
      <c r="Q530" s="23"/>
      <c r="R530" s="22" t="s">
        <v>16</v>
      </c>
      <c r="S530" s="22" t="s">
        <v>16</v>
      </c>
      <c r="T530" s="20">
        <f t="shared" si="57"/>
        <v>9337.842937928659</v>
      </c>
      <c r="U530" s="22">
        <v>1</v>
      </c>
    </row>
    <row r="531" spans="1:21">
      <c r="A531" s="434" t="s">
        <v>1496</v>
      </c>
      <c r="B531" s="449" t="s">
        <v>22</v>
      </c>
      <c r="C531" s="435">
        <v>381</v>
      </c>
      <c r="D531" s="435">
        <v>228.6</v>
      </c>
      <c r="E531" s="435">
        <v>76.2</v>
      </c>
      <c r="F531" s="435">
        <v>63.5</v>
      </c>
      <c r="G531" s="17">
        <f>((E531+F531)/2)*D531*C531/10^6</f>
        <v>6.0836975099999995</v>
      </c>
      <c r="K531" s="59"/>
      <c r="L531" s="20"/>
      <c r="M531" s="20"/>
      <c r="N531" s="20"/>
      <c r="O531" s="20"/>
      <c r="P531" s="20"/>
      <c r="Q531" s="23"/>
      <c r="R531" s="22" t="s">
        <v>16</v>
      </c>
      <c r="S531" s="22" t="s">
        <v>16</v>
      </c>
      <c r="T531" s="20">
        <f t="shared" si="57"/>
        <v>4632.6432886636112</v>
      </c>
      <c r="U531" s="22">
        <v>1</v>
      </c>
    </row>
    <row r="532" spans="1:21">
      <c r="A532" s="434" t="s">
        <v>1498</v>
      </c>
      <c r="B532" s="449" t="s">
        <v>22</v>
      </c>
      <c r="C532" s="435">
        <v>381</v>
      </c>
      <c r="D532" s="435">
        <v>228.6</v>
      </c>
      <c r="E532" s="435">
        <v>76.2</v>
      </c>
      <c r="F532" s="435">
        <v>50.8</v>
      </c>
      <c r="G532" s="17">
        <f>((E532+F532)/2)*D532*C532/10^6</f>
        <v>5.5306341000000003</v>
      </c>
      <c r="K532" s="59"/>
      <c r="L532" s="20"/>
      <c r="M532" s="20"/>
      <c r="N532" s="20"/>
      <c r="O532" s="20"/>
      <c r="P532" s="20"/>
      <c r="Q532" s="23"/>
      <c r="R532" s="22" t="s">
        <v>16</v>
      </c>
      <c r="S532" s="22" t="s">
        <v>16</v>
      </c>
      <c r="T532" s="20">
        <f t="shared" si="57"/>
        <v>2317.286309457681</v>
      </c>
      <c r="U532" s="22">
        <v>1</v>
      </c>
    </row>
    <row r="533" spans="1:21">
      <c r="A533" s="436" t="s">
        <v>1108</v>
      </c>
      <c r="B533" s="450" t="s">
        <v>22</v>
      </c>
      <c r="C533" s="437">
        <v>457.2</v>
      </c>
      <c r="D533" s="437">
        <v>114.3</v>
      </c>
      <c r="E533" s="437">
        <v>76.2</v>
      </c>
      <c r="F533" s="437">
        <v>63.5</v>
      </c>
      <c r="G533" s="17">
        <f t="shared" si="60"/>
        <v>3.6502185059999994</v>
      </c>
      <c r="K533" s="59"/>
      <c r="L533" s="20"/>
      <c r="M533" s="20"/>
      <c r="N533" s="20"/>
      <c r="O533" s="20"/>
      <c r="P533" s="20"/>
      <c r="Q533" s="23"/>
      <c r="R533" s="22" t="s">
        <v>16</v>
      </c>
      <c r="S533" s="22" t="s">
        <v>16</v>
      </c>
      <c r="T533" s="20">
        <f t="shared" si="57"/>
        <v>5558.93608525948</v>
      </c>
      <c r="U533" s="22">
        <v>1</v>
      </c>
    </row>
    <row r="534" spans="1:21">
      <c r="A534" s="436" t="s">
        <v>1109</v>
      </c>
      <c r="B534" s="450" t="s">
        <v>22</v>
      </c>
      <c r="C534" s="437">
        <v>457.2</v>
      </c>
      <c r="D534" s="437">
        <v>114.3</v>
      </c>
      <c r="E534" s="437">
        <v>76.2</v>
      </c>
      <c r="F534" s="437">
        <v>50.8</v>
      </c>
      <c r="G534" s="17">
        <f t="shared" si="60"/>
        <v>3.3183804599999998</v>
      </c>
      <c r="K534" s="59"/>
      <c r="L534" s="20"/>
      <c r="M534" s="20"/>
      <c r="N534" s="20"/>
      <c r="O534" s="20"/>
      <c r="P534" s="20"/>
      <c r="Q534" s="23"/>
      <c r="R534" s="22" t="s">
        <v>16</v>
      </c>
      <c r="S534" s="22" t="s">
        <v>16</v>
      </c>
      <c r="T534" s="20">
        <f t="shared" ref="T534:T550" si="61">(E534+U534)/2/(SIN(RADIANS((ATAN(((E534+U534)-(F534+U534))/2/C534)*180/PI()))))*2</f>
        <v>2780.2720154689896</v>
      </c>
      <c r="U534" s="22">
        <v>1</v>
      </c>
    </row>
    <row r="535" spans="1:21">
      <c r="A535" s="436" t="s">
        <v>1505</v>
      </c>
      <c r="B535" s="450" t="s">
        <v>22</v>
      </c>
      <c r="C535" s="437">
        <v>457.2</v>
      </c>
      <c r="D535" s="437">
        <v>114.3</v>
      </c>
      <c r="E535" s="437">
        <v>76.2</v>
      </c>
      <c r="F535" s="437">
        <v>25.4</v>
      </c>
      <c r="G535" s="17">
        <f t="shared" si="60"/>
        <v>2.654704368</v>
      </c>
      <c r="K535" s="59"/>
      <c r="L535" s="20"/>
      <c r="M535" s="20"/>
      <c r="N535" s="20"/>
      <c r="O535" s="20"/>
      <c r="P535" s="20"/>
      <c r="Q535" s="23"/>
      <c r="R535" s="22" t="s">
        <v>16</v>
      </c>
      <c r="S535" s="22" t="s">
        <v>16</v>
      </c>
      <c r="T535" s="20">
        <f t="shared" si="61"/>
        <v>1391.7427923290998</v>
      </c>
      <c r="U535" s="22">
        <v>1</v>
      </c>
    </row>
    <row r="536" spans="1:21">
      <c r="A536" s="436" t="s">
        <v>1504</v>
      </c>
      <c r="B536" s="450" t="s">
        <v>22</v>
      </c>
      <c r="C536" s="437">
        <v>457.2</v>
      </c>
      <c r="D536" s="437">
        <v>152.4</v>
      </c>
      <c r="E536" s="437">
        <v>76.2</v>
      </c>
      <c r="F536" s="437">
        <v>73</v>
      </c>
      <c r="G536" s="17">
        <f>((E536+F536)/2)*D536*C536/10^6</f>
        <v>5.1979250879999999</v>
      </c>
      <c r="K536" s="59"/>
      <c r="L536" s="20"/>
      <c r="M536" s="20"/>
      <c r="N536" s="20"/>
      <c r="O536" s="20"/>
      <c r="P536" s="20"/>
      <c r="Q536" s="23"/>
      <c r="R536" s="22" t="s">
        <v>16</v>
      </c>
      <c r="S536" s="22" t="s">
        <v>16</v>
      </c>
      <c r="T536" s="20">
        <f t="shared" si="61"/>
        <v>22060.035082701008</v>
      </c>
      <c r="U536" s="22">
        <v>1</v>
      </c>
    </row>
    <row r="537" spans="1:21">
      <c r="A537" s="436" t="s">
        <v>1110</v>
      </c>
      <c r="B537" s="450" t="s">
        <v>22</v>
      </c>
      <c r="C537" s="437">
        <v>457.2</v>
      </c>
      <c r="D537" s="437">
        <v>152.4</v>
      </c>
      <c r="E537" s="437">
        <v>76.2</v>
      </c>
      <c r="F537" s="437">
        <v>69.900000000000006</v>
      </c>
      <c r="G537" s="17">
        <f t="shared" si="60"/>
        <v>5.0899253040000003</v>
      </c>
      <c r="K537" s="59"/>
      <c r="L537" s="20"/>
      <c r="M537" s="20"/>
      <c r="N537" s="20"/>
      <c r="O537" s="20"/>
      <c r="P537" s="20"/>
      <c r="Q537" s="23"/>
      <c r="R537" s="22" t="s">
        <v>16</v>
      </c>
      <c r="S537" s="22" t="s">
        <v>16</v>
      </c>
      <c r="T537" s="20">
        <f t="shared" si="61"/>
        <v>11205.294513154517</v>
      </c>
      <c r="U537" s="22">
        <v>1</v>
      </c>
    </row>
    <row r="538" spans="1:21">
      <c r="A538" s="436" t="s">
        <v>1111</v>
      </c>
      <c r="B538" s="450" t="s">
        <v>22</v>
      </c>
      <c r="C538" s="437">
        <v>457.2</v>
      </c>
      <c r="D538" s="437">
        <v>152.4</v>
      </c>
      <c r="E538" s="437">
        <v>76.2</v>
      </c>
      <c r="F538" s="437">
        <v>63.5</v>
      </c>
      <c r="G538" s="17">
        <f t="shared" si="60"/>
        <v>4.8669580079999992</v>
      </c>
      <c r="K538" s="59"/>
      <c r="L538" s="20"/>
      <c r="M538" s="20"/>
      <c r="N538" s="20"/>
      <c r="O538" s="20"/>
      <c r="P538" s="20"/>
      <c r="Q538" s="23"/>
      <c r="R538" s="22" t="s">
        <v>16</v>
      </c>
      <c r="S538" s="22" t="s">
        <v>16</v>
      </c>
      <c r="T538" s="20">
        <f t="shared" si="61"/>
        <v>5558.93608525948</v>
      </c>
      <c r="U538" s="22">
        <v>1</v>
      </c>
    </row>
    <row r="539" spans="1:21">
      <c r="A539" s="436" t="s">
        <v>1112</v>
      </c>
      <c r="B539" s="450" t="s">
        <v>22</v>
      </c>
      <c r="C539" s="437">
        <v>457.2</v>
      </c>
      <c r="D539" s="437">
        <v>152.4</v>
      </c>
      <c r="E539" s="437">
        <v>76.2</v>
      </c>
      <c r="F539" s="437">
        <v>50.8</v>
      </c>
      <c r="G539" s="17">
        <f t="shared" si="60"/>
        <v>4.4245072799999994</v>
      </c>
      <c r="K539" s="59"/>
      <c r="L539" s="20"/>
      <c r="M539" s="20"/>
      <c r="N539" s="20"/>
      <c r="O539" s="20"/>
      <c r="P539" s="20"/>
      <c r="Q539" s="23"/>
      <c r="R539" s="22" t="s">
        <v>16</v>
      </c>
      <c r="S539" s="22" t="s">
        <v>16</v>
      </c>
      <c r="T539" s="20">
        <f t="shared" si="61"/>
        <v>2780.2720154689896</v>
      </c>
      <c r="U539" s="22">
        <v>1</v>
      </c>
    </row>
    <row r="540" spans="1:21">
      <c r="A540" s="436" t="s">
        <v>1134</v>
      </c>
      <c r="B540" s="450" t="s">
        <v>22</v>
      </c>
      <c r="C540" s="437">
        <v>457.2</v>
      </c>
      <c r="D540" s="437">
        <v>152.4</v>
      </c>
      <c r="E540" s="437">
        <v>76.2</v>
      </c>
      <c r="F540" s="437">
        <v>38.1</v>
      </c>
      <c r="G540" s="17">
        <f t="shared" si="60"/>
        <v>3.9820565520000004</v>
      </c>
      <c r="K540" s="59"/>
      <c r="L540" s="20"/>
      <c r="M540" s="20"/>
      <c r="N540" s="20"/>
      <c r="O540" s="20"/>
      <c r="P540" s="20"/>
      <c r="Q540" s="23"/>
      <c r="R540" s="22" t="s">
        <v>16</v>
      </c>
      <c r="S540" s="22" t="s">
        <v>16</v>
      </c>
      <c r="T540" s="20">
        <f t="shared" si="61"/>
        <v>1854.40763587729</v>
      </c>
      <c r="U540" s="22">
        <v>1</v>
      </c>
    </row>
    <row r="541" spans="1:21">
      <c r="A541" s="436" t="s">
        <v>1133</v>
      </c>
      <c r="B541" s="450" t="s">
        <v>22</v>
      </c>
      <c r="C541" s="437">
        <v>457.2</v>
      </c>
      <c r="D541" s="437">
        <v>152.4</v>
      </c>
      <c r="E541" s="437">
        <v>76.2</v>
      </c>
      <c r="F541" s="437">
        <v>25.4</v>
      </c>
      <c r="G541" s="17">
        <f>((E541+F541)/2)*D541*C541/10^6</f>
        <v>3.5396058240000001</v>
      </c>
      <c r="K541" s="59"/>
      <c r="L541" s="20"/>
      <c r="M541" s="20"/>
      <c r="N541" s="20"/>
      <c r="O541" s="20"/>
      <c r="P541" s="20"/>
      <c r="Q541" s="23"/>
      <c r="R541" s="22" t="s">
        <v>16</v>
      </c>
      <c r="S541" s="22" t="s">
        <v>16</v>
      </c>
      <c r="T541" s="20">
        <f t="shared" si="61"/>
        <v>1391.7427923290998</v>
      </c>
      <c r="U541" s="22">
        <v>1</v>
      </c>
    </row>
    <row r="542" spans="1:21">
      <c r="A542" s="436" t="s">
        <v>1507</v>
      </c>
      <c r="B542" s="450" t="s">
        <v>22</v>
      </c>
      <c r="C542" s="437">
        <v>457.2</v>
      </c>
      <c r="D542" s="437">
        <v>171.5</v>
      </c>
      <c r="E542" s="437">
        <v>76.2</v>
      </c>
      <c r="F542" s="437">
        <v>69.900000000000006</v>
      </c>
      <c r="G542" s="17">
        <f t="shared" si="60"/>
        <v>5.7278358900000006</v>
      </c>
      <c r="K542" s="59"/>
      <c r="L542" s="20"/>
      <c r="M542" s="20"/>
      <c r="N542" s="20"/>
      <c r="O542" s="20"/>
      <c r="P542" s="20"/>
      <c r="Q542" s="23"/>
      <c r="R542" s="22" t="s">
        <v>16</v>
      </c>
      <c r="S542" s="22" t="s">
        <v>16</v>
      </c>
      <c r="T542" s="20">
        <f t="shared" si="61"/>
        <v>11205.294513154517</v>
      </c>
      <c r="U542" s="22">
        <v>1</v>
      </c>
    </row>
    <row r="543" spans="1:21">
      <c r="A543" s="436" t="s">
        <v>1507</v>
      </c>
      <c r="B543" s="450" t="s">
        <v>22</v>
      </c>
      <c r="C543" s="437">
        <v>457.2</v>
      </c>
      <c r="D543" s="437">
        <v>171.5</v>
      </c>
      <c r="E543" s="437">
        <v>76.2</v>
      </c>
      <c r="F543" s="437">
        <v>63.5</v>
      </c>
      <c r="G543" s="17">
        <f>((E543+F543)/2)*D543*C543/10^6</f>
        <v>5.4769245299999989</v>
      </c>
      <c r="K543" s="59"/>
      <c r="L543" s="20"/>
      <c r="M543" s="20"/>
      <c r="N543" s="20"/>
      <c r="O543" s="20"/>
      <c r="P543" s="20"/>
      <c r="Q543" s="23"/>
      <c r="R543" s="22" t="s">
        <v>16</v>
      </c>
      <c r="S543" s="22" t="s">
        <v>16</v>
      </c>
      <c r="T543" s="20">
        <f t="shared" si="61"/>
        <v>5558.93608525948</v>
      </c>
      <c r="U543" s="22">
        <v>1</v>
      </c>
    </row>
    <row r="544" spans="1:21">
      <c r="A544" s="436" t="s">
        <v>1502</v>
      </c>
      <c r="B544" s="450" t="s">
        <v>22</v>
      </c>
      <c r="C544" s="437">
        <v>457.2</v>
      </c>
      <c r="D544" s="437">
        <v>228.6</v>
      </c>
      <c r="E544" s="437">
        <v>76.2</v>
      </c>
      <c r="F544" s="437">
        <v>73</v>
      </c>
      <c r="G544" s="17">
        <f t="shared" si="60"/>
        <v>7.796887631999998</v>
      </c>
      <c r="K544" s="59"/>
      <c r="L544" s="20"/>
      <c r="M544" s="20"/>
      <c r="N544" s="20"/>
      <c r="O544" s="20"/>
      <c r="P544" s="20"/>
      <c r="Q544" s="23"/>
      <c r="R544" s="22" t="s">
        <v>16</v>
      </c>
      <c r="S544" s="22" t="s">
        <v>16</v>
      </c>
      <c r="T544" s="20">
        <f t="shared" si="61"/>
        <v>22060.035082701008</v>
      </c>
      <c r="U544" s="22">
        <v>1</v>
      </c>
    </row>
    <row r="545" spans="1:16380">
      <c r="A545" s="436" t="s">
        <v>1113</v>
      </c>
      <c r="B545" s="450" t="s">
        <v>22</v>
      </c>
      <c r="C545" s="437">
        <v>457.2</v>
      </c>
      <c r="D545" s="437">
        <v>228.6</v>
      </c>
      <c r="E545" s="437">
        <v>76.2</v>
      </c>
      <c r="F545" s="437">
        <v>69.8</v>
      </c>
      <c r="G545" s="17">
        <f>((E545+F545)/2)*D545*C545/10^6</f>
        <v>7.6296621599999996</v>
      </c>
      <c r="K545" s="59"/>
      <c r="L545" s="20"/>
      <c r="M545" s="20"/>
      <c r="N545" s="20"/>
      <c r="O545" s="20"/>
      <c r="P545" s="20"/>
      <c r="Q545" s="23"/>
      <c r="R545" s="22" t="s">
        <v>16</v>
      </c>
      <c r="S545" s="22" t="s">
        <v>16</v>
      </c>
      <c r="T545" s="20">
        <f t="shared" si="61"/>
        <v>11030.220162920583</v>
      </c>
      <c r="U545" s="22">
        <v>1</v>
      </c>
    </row>
    <row r="546" spans="1:16380">
      <c r="A546" s="436" t="s">
        <v>1508</v>
      </c>
      <c r="B546" s="450" t="s">
        <v>22</v>
      </c>
      <c r="C546" s="437">
        <v>457.2</v>
      </c>
      <c r="D546" s="437">
        <v>304.8</v>
      </c>
      <c r="E546" s="437">
        <v>76.2</v>
      </c>
      <c r="F546" s="437">
        <v>63.5</v>
      </c>
      <c r="G546" s="17">
        <f>((E546+F546)/2)*D546*C546/10^6</f>
        <v>9.7339160159999985</v>
      </c>
      <c r="K546" s="59"/>
      <c r="L546" s="20"/>
      <c r="M546" s="20"/>
      <c r="N546" s="20"/>
      <c r="O546" s="20"/>
      <c r="P546" s="20"/>
      <c r="Q546" s="23"/>
      <c r="R546" s="22" t="s">
        <v>16</v>
      </c>
      <c r="S546" s="22" t="s">
        <v>16</v>
      </c>
      <c r="T546" s="20">
        <f t="shared" si="61"/>
        <v>5558.93608525948</v>
      </c>
      <c r="U546" s="22">
        <v>1</v>
      </c>
    </row>
    <row r="547" spans="1:16380">
      <c r="A547" s="436" t="s">
        <v>1128</v>
      </c>
      <c r="B547" s="450" t="s">
        <v>22</v>
      </c>
      <c r="C547" s="437">
        <v>457.2</v>
      </c>
      <c r="D547" s="437">
        <v>228.6</v>
      </c>
      <c r="E547" s="437">
        <v>76.2</v>
      </c>
      <c r="F547" s="437">
        <v>50.8</v>
      </c>
      <c r="G547" s="17">
        <f t="shared" si="60"/>
        <v>6.6367609199999995</v>
      </c>
      <c r="K547" s="59"/>
      <c r="L547" s="20"/>
      <c r="M547" s="20"/>
      <c r="N547" s="20"/>
      <c r="O547" s="20"/>
      <c r="P547" s="20"/>
      <c r="Q547" s="23"/>
      <c r="R547" s="22" t="s">
        <v>16</v>
      </c>
      <c r="S547" s="22" t="s">
        <v>16</v>
      </c>
      <c r="T547" s="20">
        <f t="shared" si="61"/>
        <v>2780.2720154689896</v>
      </c>
      <c r="U547" s="22">
        <v>1</v>
      </c>
    </row>
    <row r="548" spans="1:16380">
      <c r="A548" s="436" t="s">
        <v>1148</v>
      </c>
      <c r="B548" s="450" t="s">
        <v>22</v>
      </c>
      <c r="C548" s="437">
        <v>457.2</v>
      </c>
      <c r="D548" s="437">
        <v>228.6</v>
      </c>
      <c r="E548" s="437">
        <v>76.2</v>
      </c>
      <c r="F548" s="437">
        <v>38.1</v>
      </c>
      <c r="G548" s="17">
        <f t="shared" si="60"/>
        <v>5.9730848280000011</v>
      </c>
      <c r="K548" s="59"/>
      <c r="L548" s="20"/>
      <c r="M548" s="20"/>
      <c r="N548" s="20"/>
      <c r="O548" s="20"/>
      <c r="P548" s="20"/>
      <c r="Q548" s="23"/>
      <c r="R548" s="22" t="s">
        <v>16</v>
      </c>
      <c r="S548" s="22" t="s">
        <v>16</v>
      </c>
      <c r="T548" s="20">
        <f t="shared" si="61"/>
        <v>1854.40763587729</v>
      </c>
      <c r="U548" s="22">
        <v>1</v>
      </c>
    </row>
    <row r="549" spans="1:16380">
      <c r="A549" s="436" t="s">
        <v>1503</v>
      </c>
      <c r="B549" s="450" t="s">
        <v>22</v>
      </c>
      <c r="C549" s="437">
        <v>457.2</v>
      </c>
      <c r="D549" s="437">
        <v>228.6</v>
      </c>
      <c r="E549" s="437">
        <v>76.2</v>
      </c>
      <c r="F549" s="437">
        <v>25.4</v>
      </c>
      <c r="G549" s="17">
        <f>((E549+F549)/2)*D549*C549/10^6</f>
        <v>5.309408736</v>
      </c>
      <c r="K549" s="59"/>
      <c r="L549" s="20"/>
      <c r="M549" s="20"/>
      <c r="N549" s="20"/>
      <c r="O549" s="20"/>
      <c r="P549" s="20"/>
      <c r="Q549" s="23"/>
      <c r="R549" s="22" t="s">
        <v>16</v>
      </c>
      <c r="S549" s="22" t="s">
        <v>16</v>
      </c>
      <c r="T549" s="20">
        <f t="shared" si="61"/>
        <v>1391.7427923290998</v>
      </c>
      <c r="U549" s="22">
        <v>1</v>
      </c>
    </row>
    <row r="550" spans="1:16380" ht="13.8" thickBot="1">
      <c r="A550" s="436" t="s">
        <v>1506</v>
      </c>
      <c r="B550" s="450" t="s">
        <v>22</v>
      </c>
      <c r="C550" s="437">
        <v>457.2</v>
      </c>
      <c r="D550" s="437">
        <v>228.6</v>
      </c>
      <c r="E550" s="437">
        <v>101.6</v>
      </c>
      <c r="F550" s="437">
        <v>76.2</v>
      </c>
      <c r="G550" s="17">
        <f>((E550+F550)/2)*D550*C550/10^6</f>
        <v>9.2914652880000013</v>
      </c>
      <c r="K550" s="59"/>
      <c r="L550" s="20"/>
      <c r="M550" s="20"/>
      <c r="N550" s="20"/>
      <c r="O550" s="20"/>
      <c r="P550" s="20"/>
      <c r="Q550" s="23"/>
      <c r="R550" s="22" t="s">
        <v>16</v>
      </c>
      <c r="S550" s="22" t="s">
        <v>16</v>
      </c>
      <c r="T550" s="20">
        <f t="shared" si="61"/>
        <v>3695.0247252217414</v>
      </c>
      <c r="U550" s="22">
        <v>1</v>
      </c>
    </row>
    <row r="551" spans="1:16380" ht="25.2" thickBot="1">
      <c r="A551" s="446" t="s">
        <v>1511</v>
      </c>
      <c r="B551" s="73"/>
      <c r="C551" s="73"/>
      <c r="D551" s="73"/>
      <c r="E551" s="73"/>
      <c r="F551" s="73"/>
      <c r="G551" s="102"/>
      <c r="H551" s="102"/>
      <c r="I551" s="102"/>
      <c r="J551" s="102"/>
      <c r="K551" s="102"/>
      <c r="L551" s="20"/>
      <c r="M551" s="20"/>
      <c r="N551" s="20"/>
      <c r="O551" s="20"/>
      <c r="P551" s="20"/>
      <c r="Q551" s="23"/>
      <c r="R551" s="22"/>
      <c r="S551" s="22"/>
      <c r="T551" s="20"/>
      <c r="U551" s="22"/>
      <c r="V551" s="20"/>
    </row>
    <row r="552" spans="1:16380">
      <c r="A552" s="68" t="s">
        <v>1513</v>
      </c>
      <c r="B552" s="349" t="s">
        <v>2166</v>
      </c>
      <c r="C552" s="359">
        <v>152.4</v>
      </c>
      <c r="D552" s="359">
        <v>152.4</v>
      </c>
      <c r="E552" s="359">
        <v>76.2</v>
      </c>
      <c r="F552" s="359">
        <v>69.900000000000006</v>
      </c>
      <c r="G552" s="17">
        <f>((E552+F552)/2)*D552*C552/10^6</f>
        <v>1.6966417680000003</v>
      </c>
      <c r="K552" s="59"/>
      <c r="L552" s="20"/>
      <c r="M552" s="20"/>
      <c r="N552" s="20"/>
      <c r="O552" s="20"/>
      <c r="P552" s="20"/>
      <c r="Q552" s="23"/>
      <c r="R552" s="22" t="s">
        <v>16</v>
      </c>
      <c r="S552" s="22" t="s">
        <v>16</v>
      </c>
      <c r="T552" s="20">
        <f t="shared" ref="T552:T615" si="62">(E552+U552)/2/(SIN(RADIANS((ATAN(((E552+U552)-(F552+U552))/2/C552)*180/PI()))))*2</f>
        <v>3735.8072732607416</v>
      </c>
      <c r="U552" s="22">
        <v>1</v>
      </c>
      <c r="V552"/>
      <c r="W552"/>
      <c r="X552" s="352"/>
      <c r="Y552"/>
      <c r="Z552"/>
      <c r="AA552"/>
      <c r="AB552"/>
      <c r="AC552"/>
      <c r="AD552"/>
      <c r="AE552"/>
      <c r="AF552"/>
      <c r="AG552"/>
      <c r="AH552"/>
      <c r="AI552"/>
      <c r="AJ552" s="352"/>
      <c r="AK552"/>
      <c r="AL552"/>
      <c r="AM552"/>
      <c r="AN552"/>
      <c r="AO552"/>
      <c r="AP552"/>
      <c r="AQ552"/>
      <c r="AR552"/>
      <c r="AS552"/>
      <c r="AT552"/>
      <c r="AU552"/>
      <c r="AV552"/>
      <c r="AW552"/>
      <c r="AX552"/>
      <c r="AY552"/>
      <c r="AZ552"/>
      <c r="BA552"/>
      <c r="BB552"/>
      <c r="BC552"/>
      <c r="BD552"/>
      <c r="BE552"/>
      <c r="BF552"/>
      <c r="BG552"/>
      <c r="BH552"/>
      <c r="BI552"/>
      <c r="BJ552"/>
      <c r="BK552"/>
      <c r="BL552"/>
      <c r="BM552"/>
      <c r="BN552"/>
      <c r="BO552"/>
      <c r="BP552"/>
      <c r="BQ552"/>
      <c r="BR552"/>
      <c r="BS552"/>
      <c r="BT552"/>
      <c r="BU552"/>
      <c r="BV552"/>
      <c r="BW552"/>
      <c r="BX552"/>
      <c r="BY552"/>
      <c r="BZ552"/>
      <c r="CA552"/>
      <c r="CB552"/>
      <c r="CC552"/>
      <c r="CD552"/>
      <c r="CE552"/>
      <c r="CF552"/>
      <c r="CG552"/>
      <c r="CH552"/>
      <c r="CI552"/>
      <c r="CJ552"/>
      <c r="CK552"/>
      <c r="CL552"/>
      <c r="CM552"/>
      <c r="CN552"/>
      <c r="CO552"/>
      <c r="CP552"/>
      <c r="CQ552"/>
      <c r="CR552"/>
      <c r="CS552"/>
      <c r="CT552"/>
      <c r="CU552"/>
      <c r="CV552"/>
      <c r="CW552"/>
      <c r="CX552"/>
      <c r="CY552"/>
      <c r="CZ552"/>
      <c r="DA552"/>
      <c r="DB552"/>
      <c r="DC552"/>
      <c r="DD552"/>
      <c r="DE552"/>
      <c r="DF552"/>
      <c r="DG552"/>
      <c r="DH552"/>
      <c r="DI552"/>
      <c r="DJ552"/>
      <c r="DK552"/>
      <c r="DL552"/>
      <c r="DM552"/>
      <c r="DN552"/>
      <c r="DO552"/>
      <c r="DP552"/>
      <c r="DQ552"/>
      <c r="DR552"/>
      <c r="DS552"/>
      <c r="DT552"/>
      <c r="DU552"/>
      <c r="DV552"/>
      <c r="DW552"/>
      <c r="DX552"/>
      <c r="DY552"/>
      <c r="DZ552"/>
      <c r="EA552"/>
      <c r="EB552"/>
      <c r="EC552"/>
      <c r="ED552"/>
      <c r="EE552"/>
      <c r="EF552"/>
      <c r="EG552"/>
      <c r="EH552"/>
      <c r="EI552"/>
      <c r="EJ552"/>
      <c r="EK552"/>
      <c r="EL552"/>
      <c r="EM552"/>
      <c r="EN552"/>
      <c r="EO552"/>
      <c r="EP552"/>
      <c r="EQ552"/>
      <c r="ER552"/>
      <c r="ES552"/>
      <c r="ET552"/>
      <c r="EU552"/>
      <c r="EV552"/>
      <c r="EW552"/>
      <c r="EX552"/>
      <c r="EY552"/>
      <c r="EZ552"/>
      <c r="FA552"/>
      <c r="FB552"/>
      <c r="FC552"/>
      <c r="FD552"/>
      <c r="FE552"/>
      <c r="FF552"/>
      <c r="FG552"/>
      <c r="FH552"/>
      <c r="FI552"/>
      <c r="FJ552"/>
      <c r="FK552"/>
      <c r="FL552"/>
      <c r="FM552"/>
      <c r="FN552"/>
      <c r="FO552"/>
      <c r="FP552"/>
      <c r="FQ552"/>
      <c r="FR552"/>
      <c r="FS552"/>
      <c r="FT552"/>
      <c r="FU552"/>
      <c r="FV552"/>
      <c r="FW552"/>
      <c r="FX552"/>
      <c r="FY552"/>
      <c r="FZ552"/>
      <c r="GA552"/>
      <c r="GB552"/>
      <c r="GC552"/>
      <c r="GD552"/>
      <c r="GE552"/>
      <c r="GF552"/>
      <c r="GG552"/>
      <c r="GH552"/>
      <c r="GI552"/>
      <c r="GJ552"/>
      <c r="GK552"/>
      <c r="GL552"/>
      <c r="GM552"/>
      <c r="GN552"/>
      <c r="GO552"/>
      <c r="GP552"/>
      <c r="GQ552"/>
      <c r="GR552"/>
      <c r="GS552"/>
      <c r="GT552"/>
      <c r="GU552"/>
      <c r="GV552"/>
      <c r="GW552"/>
      <c r="GX552"/>
      <c r="GY552"/>
      <c r="GZ552"/>
      <c r="HA552"/>
      <c r="HB552"/>
      <c r="HC552"/>
      <c r="HD552"/>
      <c r="HE552"/>
      <c r="HF552"/>
      <c r="HG552"/>
      <c r="HH552"/>
      <c r="HI552"/>
      <c r="HJ552"/>
      <c r="HK552"/>
      <c r="HL552"/>
      <c r="HM552"/>
      <c r="HN552"/>
      <c r="HO552"/>
      <c r="HP552"/>
      <c r="HQ552"/>
      <c r="HR552"/>
      <c r="HS552"/>
      <c r="HT552"/>
      <c r="HU552"/>
      <c r="HV552"/>
      <c r="HW552"/>
      <c r="HX552"/>
      <c r="HY552"/>
      <c r="HZ552"/>
      <c r="IA552"/>
      <c r="IB552"/>
      <c r="IC552"/>
      <c r="ID552"/>
      <c r="IE552"/>
      <c r="IF552"/>
      <c r="IG552"/>
      <c r="IH552"/>
      <c r="II552"/>
      <c r="IJ552"/>
      <c r="IK552"/>
      <c r="IL552"/>
      <c r="IM552"/>
      <c r="IN552"/>
      <c r="IO552"/>
      <c r="IP552"/>
      <c r="IQ552"/>
      <c r="IR552"/>
      <c r="IS552"/>
      <c r="IT552"/>
      <c r="IU552"/>
      <c r="IV552"/>
      <c r="IW552"/>
      <c r="IX552"/>
      <c r="IY552"/>
      <c r="IZ552"/>
      <c r="JA552"/>
      <c r="JB552"/>
      <c r="JC552"/>
      <c r="JD552"/>
      <c r="JE552"/>
      <c r="JF552"/>
      <c r="JG552"/>
      <c r="JH552"/>
      <c r="JI552"/>
      <c r="JJ552"/>
      <c r="JK552"/>
      <c r="JL552"/>
      <c r="JM552"/>
      <c r="JN552"/>
      <c r="JO552"/>
      <c r="JP552"/>
      <c r="JQ552"/>
      <c r="JR552"/>
      <c r="JS552"/>
      <c r="JT552"/>
      <c r="JU552"/>
      <c r="JV552"/>
      <c r="JW552"/>
      <c r="JX552"/>
      <c r="JY552"/>
      <c r="JZ552"/>
      <c r="KA552"/>
      <c r="KB552"/>
      <c r="KC552"/>
      <c r="KD552"/>
      <c r="KE552"/>
      <c r="KF552"/>
      <c r="KG552"/>
      <c r="KH552"/>
      <c r="KI552"/>
      <c r="KJ552"/>
      <c r="KK552"/>
      <c r="KL552"/>
      <c r="KM552"/>
      <c r="KN552"/>
      <c r="KO552"/>
      <c r="KP552"/>
      <c r="KQ552"/>
      <c r="KR552"/>
      <c r="KS552"/>
      <c r="KT552"/>
      <c r="KU552"/>
      <c r="KV552"/>
      <c r="KW552"/>
      <c r="KX552"/>
      <c r="KY552"/>
      <c r="KZ552"/>
      <c r="LA552"/>
      <c r="LB552"/>
      <c r="LC552"/>
      <c r="LD552"/>
      <c r="LE552"/>
      <c r="LF552"/>
      <c r="LG552"/>
      <c r="LH552"/>
      <c r="LI552"/>
      <c r="LJ552"/>
      <c r="LK552"/>
      <c r="LL552"/>
      <c r="LM552"/>
      <c r="LN552"/>
      <c r="LO552"/>
      <c r="LP552"/>
      <c r="LQ552"/>
      <c r="LR552"/>
      <c r="LS552"/>
      <c r="LT552"/>
      <c r="LU552"/>
      <c r="LV552"/>
      <c r="LW552"/>
      <c r="LX552"/>
      <c r="LY552"/>
      <c r="LZ552"/>
      <c r="MA552"/>
      <c r="MB552"/>
      <c r="MC552"/>
      <c r="MD552"/>
      <c r="ME552"/>
      <c r="MF552"/>
      <c r="MG552"/>
      <c r="MH552"/>
      <c r="MI552"/>
      <c r="MJ552"/>
      <c r="MK552"/>
      <c r="ML552"/>
      <c r="MM552"/>
      <c r="MN552"/>
      <c r="MO552"/>
      <c r="MP552"/>
      <c r="MQ552"/>
      <c r="MR552"/>
      <c r="MS552"/>
      <c r="MT552"/>
      <c r="MU552"/>
      <c r="MV552"/>
      <c r="MW552"/>
      <c r="MX552"/>
      <c r="MY552"/>
      <c r="MZ552"/>
      <c r="NA552"/>
      <c r="NB552"/>
      <c r="NC552"/>
      <c r="ND552"/>
      <c r="NE552"/>
      <c r="NF552"/>
      <c r="NG552"/>
      <c r="NH552"/>
      <c r="NI552"/>
      <c r="NJ552"/>
      <c r="NK552"/>
      <c r="NL552"/>
      <c r="NM552"/>
      <c r="NN552"/>
      <c r="NO552"/>
      <c r="NP552"/>
      <c r="NQ552"/>
      <c r="NR552"/>
      <c r="NS552"/>
      <c r="NT552"/>
      <c r="NU552"/>
      <c r="NV552"/>
      <c r="NW552"/>
      <c r="NX552"/>
      <c r="NY552"/>
      <c r="NZ552"/>
      <c r="OA552"/>
      <c r="OB552"/>
      <c r="OC552"/>
      <c r="OD552"/>
      <c r="OE552"/>
      <c r="OF552"/>
      <c r="OG552"/>
      <c r="OH552"/>
      <c r="OI552"/>
      <c r="OJ552"/>
      <c r="OK552"/>
      <c r="OL552"/>
      <c r="OM552"/>
      <c r="ON552"/>
      <c r="OO552"/>
      <c r="OP552"/>
      <c r="OQ552"/>
      <c r="OR552"/>
      <c r="OS552"/>
      <c r="OT552"/>
      <c r="OU552"/>
      <c r="OV552"/>
      <c r="OW552"/>
      <c r="OX552"/>
      <c r="OY552"/>
      <c r="OZ552"/>
      <c r="PA552"/>
      <c r="PB552"/>
      <c r="PC552"/>
      <c r="PD552"/>
      <c r="PE552"/>
      <c r="PF552"/>
      <c r="PG552"/>
      <c r="PH552"/>
      <c r="PI552"/>
      <c r="PJ552"/>
      <c r="PK552"/>
      <c r="PL552"/>
      <c r="PM552"/>
      <c r="PN552"/>
      <c r="PO552"/>
      <c r="PP552"/>
      <c r="PQ552"/>
      <c r="PR552"/>
      <c r="PS552"/>
      <c r="PT552"/>
      <c r="PU552"/>
      <c r="PV552"/>
      <c r="PW552"/>
      <c r="PX552"/>
      <c r="PY552"/>
      <c r="PZ552"/>
      <c r="QA552"/>
      <c r="QB552"/>
      <c r="QC552"/>
      <c r="QD552"/>
      <c r="QE552"/>
      <c r="QF552"/>
      <c r="QG552"/>
      <c r="QH552"/>
      <c r="QI552"/>
      <c r="QJ552"/>
      <c r="QK552"/>
      <c r="QL552"/>
      <c r="QM552"/>
      <c r="QN552"/>
      <c r="QO552"/>
      <c r="QP552"/>
      <c r="QQ552"/>
      <c r="QR552"/>
      <c r="QS552"/>
      <c r="QT552"/>
      <c r="QU552"/>
      <c r="QV552"/>
      <c r="QW552"/>
      <c r="QX552"/>
      <c r="QY552"/>
      <c r="QZ552"/>
      <c r="RA552"/>
      <c r="RB552"/>
      <c r="RC552"/>
      <c r="RD552"/>
      <c r="RE552"/>
      <c r="RF552"/>
      <c r="RG552"/>
      <c r="RH552"/>
      <c r="RI552"/>
      <c r="RJ552"/>
      <c r="RK552"/>
      <c r="RL552"/>
      <c r="RM552"/>
      <c r="RN552"/>
      <c r="RO552"/>
      <c r="RP552"/>
      <c r="RQ552"/>
      <c r="RR552"/>
      <c r="RS552"/>
      <c r="RT552"/>
      <c r="RU552"/>
      <c r="RV552"/>
      <c r="RW552"/>
      <c r="RX552"/>
      <c r="RY552"/>
      <c r="RZ552"/>
      <c r="SA552"/>
      <c r="SB552"/>
      <c r="SC552"/>
      <c r="SD552"/>
      <c r="SE552"/>
      <c r="SF552"/>
      <c r="SG552"/>
      <c r="SH552"/>
      <c r="SI552"/>
      <c r="SJ552"/>
      <c r="SK552"/>
      <c r="SL552"/>
      <c r="SM552"/>
      <c r="SN552"/>
      <c r="SO552"/>
      <c r="SP552"/>
      <c r="SQ552"/>
      <c r="SR552"/>
      <c r="SS552"/>
      <c r="ST552"/>
      <c r="SU552"/>
      <c r="SV552"/>
      <c r="SW552"/>
      <c r="SX552"/>
      <c r="SY552"/>
      <c r="SZ552"/>
      <c r="TA552"/>
      <c r="TB552"/>
      <c r="TC552"/>
      <c r="TD552"/>
      <c r="TE552"/>
      <c r="TF552"/>
      <c r="TG552"/>
      <c r="TH552"/>
      <c r="TI552"/>
      <c r="TJ552"/>
      <c r="TK552"/>
      <c r="TL552"/>
      <c r="TM552"/>
      <c r="TN552"/>
      <c r="TO552"/>
      <c r="TP552"/>
      <c r="TQ552"/>
      <c r="TR552"/>
      <c r="TS552"/>
      <c r="TT552"/>
      <c r="TU552"/>
      <c r="TV552"/>
      <c r="TW552"/>
      <c r="TX552"/>
      <c r="TY552"/>
      <c r="TZ552"/>
      <c r="UA552"/>
      <c r="UB552"/>
      <c r="UC552"/>
      <c r="UD552"/>
      <c r="UE552"/>
      <c r="UF552"/>
      <c r="UG552"/>
      <c r="UH552"/>
      <c r="UI552"/>
      <c r="UJ552"/>
      <c r="UK552"/>
      <c r="UL552"/>
      <c r="UM552"/>
      <c r="UN552"/>
      <c r="UO552"/>
      <c r="UP552"/>
      <c r="UQ552"/>
      <c r="UR552"/>
      <c r="US552"/>
      <c r="UT552"/>
      <c r="UU552"/>
      <c r="UV552"/>
      <c r="UW552"/>
      <c r="UX552"/>
      <c r="UY552"/>
      <c r="UZ552"/>
      <c r="VA552"/>
      <c r="VB552"/>
      <c r="VC552"/>
      <c r="VD552"/>
      <c r="VE552"/>
      <c r="VF552"/>
      <c r="VG552"/>
      <c r="VH552"/>
      <c r="VI552"/>
      <c r="VJ552"/>
      <c r="VK552"/>
      <c r="VL552"/>
      <c r="VM552"/>
      <c r="VN552"/>
      <c r="VO552"/>
      <c r="VP552"/>
      <c r="VQ552"/>
      <c r="VR552"/>
      <c r="VS552"/>
      <c r="VT552"/>
      <c r="VU552"/>
      <c r="VV552"/>
      <c r="VW552"/>
      <c r="VX552"/>
      <c r="VY552"/>
      <c r="VZ552"/>
      <c r="WA552"/>
      <c r="WB552"/>
      <c r="WC552"/>
      <c r="WD552"/>
      <c r="WE552"/>
      <c r="WF552"/>
      <c r="WG552"/>
      <c r="WH552"/>
      <c r="WI552"/>
      <c r="WJ552"/>
      <c r="WK552"/>
      <c r="WL552"/>
      <c r="WM552"/>
      <c r="WN552"/>
      <c r="WO552"/>
      <c r="WP552"/>
      <c r="WQ552"/>
      <c r="WR552"/>
      <c r="WS552"/>
      <c r="WT552"/>
      <c r="WU552"/>
      <c r="WV552"/>
      <c r="WW552"/>
      <c r="WX552"/>
      <c r="WY552"/>
      <c r="WZ552"/>
      <c r="XA552"/>
      <c r="XB552"/>
      <c r="XC552"/>
      <c r="XD552"/>
      <c r="XE552"/>
      <c r="XF552"/>
      <c r="XG552"/>
      <c r="XH552"/>
      <c r="XI552"/>
      <c r="XJ552"/>
      <c r="XK552"/>
      <c r="XL552"/>
      <c r="XM552"/>
      <c r="XN552"/>
      <c r="XO552"/>
      <c r="XP552"/>
      <c r="XQ552"/>
      <c r="XR552"/>
      <c r="XS552"/>
      <c r="XT552"/>
      <c r="XU552"/>
      <c r="XV552"/>
      <c r="XW552"/>
      <c r="XX552"/>
      <c r="XY552"/>
      <c r="XZ552"/>
      <c r="YA552"/>
      <c r="YB552"/>
      <c r="YC552"/>
      <c r="YD552"/>
      <c r="YE552"/>
      <c r="YF552"/>
      <c r="YG552"/>
      <c r="YH552"/>
      <c r="YI552"/>
      <c r="YJ552"/>
      <c r="YK552"/>
      <c r="YL552"/>
      <c r="YM552"/>
      <c r="YN552"/>
      <c r="YO552"/>
      <c r="YP552"/>
      <c r="YQ552"/>
      <c r="YR552"/>
      <c r="YS552"/>
      <c r="YT552"/>
      <c r="YU552"/>
      <c r="YV552"/>
      <c r="YW552"/>
      <c r="YX552"/>
      <c r="YY552"/>
      <c r="YZ552"/>
      <c r="ZA552"/>
      <c r="ZB552"/>
      <c r="ZC552"/>
      <c r="ZD552"/>
      <c r="ZE552"/>
      <c r="ZF552"/>
      <c r="ZG552"/>
      <c r="ZH552"/>
      <c r="ZI552"/>
      <c r="ZJ552"/>
      <c r="ZK552"/>
      <c r="ZL552"/>
      <c r="ZM552"/>
      <c r="ZN552"/>
      <c r="ZO552"/>
      <c r="ZP552"/>
      <c r="ZQ552"/>
      <c r="ZR552"/>
      <c r="ZS552"/>
      <c r="ZT552"/>
      <c r="ZU552"/>
      <c r="ZV552"/>
      <c r="ZW552"/>
      <c r="ZX552"/>
      <c r="ZY552"/>
      <c r="ZZ552"/>
      <c r="AAA552"/>
      <c r="AAB552"/>
      <c r="AAC552"/>
      <c r="AAD552"/>
      <c r="AAE552"/>
      <c r="AAF552"/>
      <c r="AAG552"/>
      <c r="AAH552"/>
      <c r="AAI552"/>
      <c r="AAJ552"/>
      <c r="AAK552"/>
      <c r="AAL552"/>
      <c r="AAM552"/>
      <c r="AAN552"/>
      <c r="AAO552"/>
      <c r="AAP552"/>
      <c r="AAQ552"/>
      <c r="AAR552"/>
      <c r="AAS552"/>
      <c r="AAT552"/>
      <c r="AAU552"/>
      <c r="AAV552"/>
      <c r="AAW552"/>
      <c r="AAX552"/>
      <c r="AAY552"/>
      <c r="AAZ552"/>
      <c r="ABA552"/>
      <c r="ABB552"/>
      <c r="ABC552"/>
      <c r="ABD552"/>
      <c r="ABE552"/>
      <c r="ABF552"/>
      <c r="ABG552"/>
      <c r="ABH552"/>
      <c r="ABI552"/>
      <c r="ABJ552"/>
      <c r="ABK552"/>
      <c r="ABL552"/>
      <c r="ABM552"/>
      <c r="ABN552"/>
      <c r="ABO552"/>
      <c r="ABP552"/>
      <c r="ABQ552"/>
      <c r="ABR552"/>
      <c r="ABS552"/>
      <c r="ABT552"/>
      <c r="ABU552"/>
      <c r="ABV552"/>
      <c r="ABW552"/>
      <c r="ABX552"/>
      <c r="ABY552"/>
      <c r="ABZ552"/>
      <c r="ACA552"/>
      <c r="ACB552"/>
      <c r="ACC552"/>
      <c r="ACD552"/>
      <c r="ACE552"/>
      <c r="ACF552"/>
      <c r="ACG552"/>
      <c r="ACH552"/>
      <c r="ACI552"/>
      <c r="ACJ552"/>
      <c r="ACK552"/>
      <c r="ACL552"/>
      <c r="ACM552"/>
      <c r="ACN552"/>
      <c r="ACO552"/>
      <c r="ACP552"/>
      <c r="ACQ552"/>
      <c r="ACR552"/>
      <c r="ACS552"/>
      <c r="ACT552"/>
      <c r="ACU552"/>
      <c r="ACV552"/>
      <c r="ACW552"/>
      <c r="ACX552"/>
      <c r="ACY552"/>
      <c r="ACZ552"/>
      <c r="ADA552"/>
      <c r="ADB552"/>
      <c r="ADC552"/>
      <c r="ADD552"/>
      <c r="ADE552"/>
      <c r="ADF552"/>
      <c r="ADG552"/>
      <c r="ADH552"/>
      <c r="ADI552"/>
      <c r="ADJ552"/>
      <c r="ADK552"/>
      <c r="ADL552"/>
      <c r="ADM552"/>
      <c r="ADN552"/>
      <c r="ADO552"/>
      <c r="ADP552"/>
      <c r="ADQ552"/>
      <c r="ADR552"/>
      <c r="ADS552"/>
      <c r="ADT552"/>
      <c r="ADU552"/>
      <c r="ADV552"/>
      <c r="ADW552"/>
      <c r="ADX552"/>
      <c r="ADY552"/>
      <c r="ADZ552"/>
      <c r="AEA552"/>
      <c r="AEB552"/>
      <c r="AEC552"/>
      <c r="AED552"/>
      <c r="AEE552"/>
      <c r="AEF552"/>
      <c r="AEG552"/>
      <c r="AEH552"/>
      <c r="AEI552"/>
      <c r="AEJ552"/>
      <c r="AEK552"/>
      <c r="AEL552"/>
      <c r="AEM552"/>
      <c r="AEN552"/>
      <c r="AEO552"/>
      <c r="AEP552"/>
      <c r="AEQ552"/>
      <c r="AER552"/>
      <c r="AES552"/>
      <c r="AET552"/>
      <c r="AEU552"/>
      <c r="AEV552"/>
      <c r="AEW552"/>
      <c r="AEX552"/>
      <c r="AEY552"/>
      <c r="AEZ552"/>
      <c r="AFA552"/>
      <c r="AFB552"/>
      <c r="AFC552"/>
      <c r="AFD552"/>
      <c r="AFE552"/>
      <c r="AFF552"/>
      <c r="AFG552"/>
      <c r="AFH552"/>
      <c r="AFI552"/>
      <c r="AFJ552"/>
      <c r="AFK552"/>
      <c r="AFL552"/>
      <c r="AFM552"/>
      <c r="AFN552"/>
      <c r="AFO552"/>
      <c r="AFP552"/>
      <c r="AFQ552"/>
      <c r="AFR552"/>
      <c r="AFS552"/>
      <c r="AFT552"/>
      <c r="AFU552"/>
      <c r="AFV552"/>
      <c r="AFW552"/>
      <c r="AFX552"/>
      <c r="AFY552"/>
      <c r="AFZ552"/>
      <c r="AGA552"/>
      <c r="AGB552"/>
      <c r="AGC552"/>
      <c r="AGD552"/>
      <c r="AGE552"/>
      <c r="AGF552"/>
      <c r="AGG552"/>
      <c r="AGH552"/>
      <c r="AGI552"/>
      <c r="AGJ552"/>
      <c r="AGK552"/>
      <c r="AGL552"/>
      <c r="AGM552"/>
      <c r="AGN552"/>
      <c r="AGO552"/>
      <c r="AGP552"/>
      <c r="AGQ552"/>
      <c r="AGR552"/>
      <c r="AGS552"/>
      <c r="AGT552"/>
      <c r="AGU552"/>
      <c r="AGV552"/>
      <c r="AGW552"/>
      <c r="AGX552"/>
      <c r="AGY552"/>
      <c r="AGZ552"/>
      <c r="AHA552"/>
      <c r="AHB552"/>
      <c r="AHC552"/>
      <c r="AHD552"/>
      <c r="AHE552"/>
      <c r="AHF552"/>
      <c r="AHG552"/>
      <c r="AHH552"/>
      <c r="AHI552"/>
      <c r="AHJ552"/>
      <c r="AHK552"/>
      <c r="AHL552"/>
      <c r="AHM552"/>
      <c r="AHN552"/>
      <c r="AHO552"/>
      <c r="AHP552"/>
      <c r="AHQ552"/>
      <c r="AHR552"/>
      <c r="AHS552"/>
      <c r="AHT552"/>
      <c r="AHU552"/>
      <c r="AHV552"/>
      <c r="AHW552"/>
      <c r="AHX552"/>
      <c r="AHY552"/>
      <c r="AHZ552"/>
      <c r="AIA552"/>
      <c r="AIB552"/>
      <c r="AIC552"/>
      <c r="AID552"/>
      <c r="AIE552"/>
      <c r="AIF552"/>
      <c r="AIG552"/>
      <c r="AIH552"/>
      <c r="AII552"/>
      <c r="AIJ552"/>
      <c r="AIK552"/>
      <c r="AIL552"/>
      <c r="AIM552"/>
      <c r="AIN552"/>
      <c r="AIO552"/>
      <c r="AIP552"/>
      <c r="AIQ552"/>
      <c r="AIR552"/>
      <c r="AIS552"/>
      <c r="AIT552"/>
      <c r="AIU552"/>
      <c r="AIV552"/>
      <c r="AIW552"/>
      <c r="AIX552"/>
      <c r="AIY552"/>
      <c r="AIZ552"/>
      <c r="AJA552"/>
      <c r="AJB552"/>
      <c r="AJC552"/>
      <c r="AJD552"/>
      <c r="AJE552"/>
      <c r="AJF552"/>
      <c r="AJG552"/>
      <c r="AJH552"/>
      <c r="AJI552"/>
      <c r="AJJ552"/>
      <c r="AJK552"/>
      <c r="AJL552"/>
      <c r="AJM552"/>
      <c r="AJN552"/>
      <c r="AJO552"/>
      <c r="AJP552"/>
      <c r="AJQ552"/>
      <c r="AJR552"/>
      <c r="AJS552"/>
      <c r="AJT552"/>
      <c r="AJU552"/>
      <c r="AJV552"/>
      <c r="AJW552"/>
      <c r="AJX552"/>
      <c r="AJY552"/>
      <c r="AJZ552"/>
      <c r="AKA552"/>
      <c r="AKB552"/>
      <c r="AKC552"/>
      <c r="AKD552"/>
      <c r="AKE552"/>
      <c r="AKF552"/>
      <c r="AKG552"/>
      <c r="AKH552"/>
      <c r="AKI552"/>
      <c r="AKJ552"/>
      <c r="AKK552"/>
      <c r="AKL552"/>
      <c r="AKM552"/>
      <c r="AKN552"/>
      <c r="AKO552"/>
      <c r="AKP552"/>
      <c r="AKQ552"/>
      <c r="AKR552"/>
      <c r="AKS552"/>
      <c r="AKT552"/>
      <c r="AKU552"/>
      <c r="AKV552"/>
      <c r="AKW552"/>
      <c r="AKX552"/>
      <c r="AKY552"/>
      <c r="AKZ552"/>
      <c r="ALA552"/>
      <c r="ALB552"/>
      <c r="ALC552"/>
      <c r="ALD552"/>
      <c r="ALE552"/>
      <c r="ALF552"/>
      <c r="ALG552"/>
      <c r="ALH552"/>
      <c r="ALI552"/>
      <c r="ALJ552"/>
      <c r="ALK552"/>
      <c r="ALL552"/>
      <c r="ALM552"/>
      <c r="ALN552"/>
      <c r="ALO552"/>
      <c r="ALP552"/>
      <c r="ALQ552"/>
      <c r="ALR552"/>
      <c r="ALS552"/>
      <c r="ALT552"/>
      <c r="ALU552"/>
      <c r="ALV552"/>
      <c r="ALW552"/>
      <c r="ALX552"/>
      <c r="ALY552"/>
      <c r="ALZ552"/>
      <c r="AMA552"/>
      <c r="AMB552"/>
      <c r="AMC552"/>
      <c r="AMD552"/>
      <c r="AME552"/>
      <c r="AMF552"/>
      <c r="AMG552"/>
      <c r="AMH552"/>
      <c r="AMI552"/>
      <c r="AMJ552"/>
      <c r="AMK552"/>
      <c r="AML552"/>
      <c r="AMM552"/>
      <c r="AMN552"/>
      <c r="AMO552"/>
      <c r="AMP552"/>
      <c r="AMQ552"/>
      <c r="AMR552"/>
      <c r="AMS552"/>
      <c r="AMT552"/>
      <c r="AMU552"/>
      <c r="AMV552"/>
      <c r="AMW552"/>
      <c r="AMX552"/>
      <c r="AMY552"/>
      <c r="AMZ552"/>
      <c r="ANA552"/>
      <c r="ANB552"/>
      <c r="ANC552"/>
      <c r="AND552"/>
      <c r="ANE552"/>
      <c r="ANF552"/>
      <c r="ANG552"/>
      <c r="ANH552"/>
      <c r="ANI552"/>
      <c r="ANJ552"/>
      <c r="ANK552"/>
      <c r="ANL552"/>
      <c r="ANM552"/>
      <c r="ANN552"/>
      <c r="ANO552"/>
      <c r="ANP552"/>
      <c r="ANQ552"/>
      <c r="ANR552"/>
      <c r="ANS552"/>
      <c r="ANT552"/>
      <c r="ANU552"/>
      <c r="ANV552"/>
      <c r="ANW552"/>
      <c r="ANX552"/>
      <c r="ANY552"/>
      <c r="ANZ552"/>
      <c r="AOA552"/>
      <c r="AOB552"/>
      <c r="AOC552"/>
      <c r="AOD552"/>
      <c r="AOE552"/>
      <c r="AOF552"/>
      <c r="AOG552"/>
      <c r="AOH552"/>
      <c r="AOI552"/>
      <c r="AOJ552"/>
      <c r="AOK552"/>
      <c r="AOL552"/>
      <c r="AOM552"/>
      <c r="AON552"/>
      <c r="AOO552"/>
      <c r="AOP552"/>
      <c r="AOQ552"/>
      <c r="AOR552"/>
      <c r="AOS552"/>
      <c r="AOT552"/>
      <c r="AOU552"/>
      <c r="AOV552"/>
      <c r="AOW552"/>
      <c r="AOX552"/>
      <c r="AOY552"/>
      <c r="AOZ552"/>
      <c r="APA552"/>
      <c r="APB552"/>
      <c r="APC552"/>
      <c r="APD552"/>
      <c r="APE552"/>
      <c r="APF552"/>
      <c r="APG552"/>
      <c r="APH552"/>
      <c r="API552"/>
      <c r="APJ552"/>
      <c r="APK552"/>
      <c r="APL552"/>
      <c r="APM552"/>
      <c r="APN552"/>
      <c r="APO552"/>
      <c r="APP552"/>
      <c r="APQ552"/>
      <c r="APR552"/>
      <c r="APS552"/>
      <c r="APT552"/>
      <c r="APU552"/>
      <c r="APV552"/>
      <c r="APW552"/>
      <c r="APX552"/>
      <c r="APY552"/>
      <c r="APZ552"/>
      <c r="AQA552"/>
      <c r="AQB552"/>
      <c r="AQC552"/>
      <c r="AQD552"/>
      <c r="AQE552"/>
      <c r="AQF552"/>
      <c r="AQG552"/>
      <c r="AQH552"/>
      <c r="AQI552"/>
      <c r="AQJ552"/>
      <c r="AQK552"/>
      <c r="AQL552"/>
      <c r="AQM552"/>
      <c r="AQN552"/>
      <c r="AQO552"/>
      <c r="AQP552"/>
      <c r="AQQ552"/>
      <c r="AQR552"/>
      <c r="AQS552"/>
      <c r="AQT552"/>
      <c r="AQU552"/>
      <c r="AQV552"/>
      <c r="AQW552"/>
      <c r="AQX552"/>
      <c r="AQY552"/>
      <c r="AQZ552"/>
      <c r="ARA552"/>
      <c r="ARB552"/>
      <c r="ARC552"/>
      <c r="ARD552"/>
      <c r="ARE552"/>
      <c r="ARF552"/>
      <c r="ARG552"/>
      <c r="ARH552"/>
      <c r="ARI552"/>
      <c r="ARJ552"/>
      <c r="ARK552"/>
      <c r="ARL552"/>
      <c r="ARM552"/>
      <c r="ARN552"/>
      <c r="ARO552"/>
      <c r="ARP552"/>
      <c r="ARQ552"/>
      <c r="ARR552"/>
      <c r="ARS552"/>
      <c r="ART552"/>
      <c r="ARU552"/>
      <c r="ARV552"/>
      <c r="ARW552"/>
      <c r="ARX552"/>
      <c r="ARY552"/>
      <c r="ARZ552"/>
      <c r="ASA552"/>
      <c r="ASB552"/>
      <c r="ASC552"/>
      <c r="ASD552"/>
      <c r="ASE552"/>
      <c r="ASF552"/>
      <c r="ASG552"/>
      <c r="ASH552"/>
      <c r="ASI552"/>
      <c r="ASJ552"/>
      <c r="ASK552"/>
      <c r="ASL552"/>
      <c r="ASM552"/>
      <c r="ASN552"/>
      <c r="ASO552"/>
      <c r="ASP552"/>
      <c r="ASQ552"/>
      <c r="ASR552"/>
      <c r="ASS552"/>
      <c r="AST552"/>
      <c r="ASU552"/>
      <c r="ASV552"/>
      <c r="ASW552"/>
      <c r="ASX552"/>
      <c r="ASY552"/>
      <c r="ASZ552"/>
      <c r="ATA552"/>
      <c r="ATB552"/>
      <c r="ATC552"/>
      <c r="ATD552"/>
      <c r="ATE552"/>
      <c r="ATF552"/>
      <c r="ATG552"/>
      <c r="ATH552"/>
      <c r="ATI552"/>
      <c r="ATJ552"/>
      <c r="ATK552"/>
      <c r="ATL552"/>
      <c r="ATM552"/>
      <c r="ATN552"/>
      <c r="ATO552"/>
      <c r="ATP552"/>
      <c r="ATQ552"/>
      <c r="ATR552"/>
      <c r="ATS552"/>
      <c r="ATT552"/>
      <c r="ATU552"/>
      <c r="ATV552"/>
      <c r="ATW552"/>
      <c r="ATX552"/>
      <c r="ATY552"/>
      <c r="ATZ552"/>
      <c r="AUA552"/>
      <c r="AUB552"/>
      <c r="AUC552"/>
      <c r="AUD552"/>
      <c r="AUE552"/>
      <c r="AUF552"/>
      <c r="AUG552"/>
      <c r="AUH552"/>
      <c r="AUI552"/>
      <c r="AUJ552"/>
      <c r="AUK552"/>
      <c r="AUL552"/>
      <c r="AUM552"/>
      <c r="AUN552"/>
      <c r="AUO552"/>
      <c r="AUP552"/>
      <c r="AUQ552"/>
      <c r="AUR552"/>
      <c r="AUS552"/>
      <c r="AUT552"/>
      <c r="AUU552"/>
      <c r="AUV552"/>
      <c r="AUW552"/>
      <c r="AUX552"/>
      <c r="AUY552"/>
      <c r="AUZ552"/>
      <c r="AVA552"/>
      <c r="AVB552"/>
      <c r="AVC552"/>
      <c r="AVD552"/>
      <c r="AVE552"/>
      <c r="AVF552"/>
      <c r="AVG552"/>
      <c r="AVH552"/>
      <c r="AVI552"/>
      <c r="AVJ552"/>
      <c r="AVK552"/>
      <c r="AVL552"/>
      <c r="AVM552"/>
      <c r="AVN552"/>
      <c r="AVO552"/>
      <c r="AVP552"/>
      <c r="AVQ552"/>
      <c r="AVR552"/>
      <c r="AVS552"/>
      <c r="AVT552"/>
      <c r="AVU552"/>
      <c r="AVV552"/>
      <c r="AVW552"/>
      <c r="AVX552"/>
      <c r="AVY552"/>
      <c r="AVZ552"/>
      <c r="AWA552"/>
      <c r="AWB552"/>
      <c r="AWC552"/>
      <c r="AWD552"/>
      <c r="AWE552"/>
      <c r="AWF552"/>
      <c r="AWG552"/>
      <c r="AWH552"/>
      <c r="AWI552"/>
      <c r="AWJ552"/>
      <c r="AWK552"/>
      <c r="AWL552"/>
      <c r="AWM552"/>
      <c r="AWN552"/>
      <c r="AWO552"/>
      <c r="AWP552"/>
      <c r="AWQ552"/>
      <c r="AWR552"/>
      <c r="AWS552"/>
      <c r="AWT552"/>
      <c r="AWU552"/>
      <c r="AWV552"/>
      <c r="AWW552"/>
      <c r="AWX552"/>
      <c r="AWY552"/>
      <c r="AWZ552"/>
      <c r="AXA552"/>
      <c r="AXB552"/>
      <c r="AXC552"/>
      <c r="AXD552"/>
      <c r="AXE552"/>
      <c r="AXF552"/>
      <c r="AXG552"/>
      <c r="AXH552"/>
      <c r="AXI552"/>
      <c r="AXJ552"/>
      <c r="AXK552"/>
      <c r="AXL552"/>
      <c r="AXM552"/>
      <c r="AXN552"/>
      <c r="AXO552"/>
      <c r="AXP552"/>
      <c r="AXQ552"/>
      <c r="AXR552"/>
      <c r="AXS552"/>
      <c r="AXT552"/>
      <c r="AXU552"/>
      <c r="AXV552"/>
      <c r="AXW552"/>
      <c r="AXX552"/>
      <c r="AXY552"/>
      <c r="AXZ552"/>
      <c r="AYA552"/>
      <c r="AYB552"/>
      <c r="AYC552"/>
      <c r="AYD552"/>
      <c r="AYE552"/>
      <c r="AYF552"/>
      <c r="AYG552"/>
      <c r="AYH552"/>
      <c r="AYI552"/>
      <c r="AYJ552"/>
      <c r="AYK552"/>
      <c r="AYL552"/>
      <c r="AYM552"/>
      <c r="AYN552"/>
      <c r="AYO552"/>
      <c r="AYP552"/>
      <c r="AYQ552"/>
      <c r="AYR552"/>
      <c r="AYS552"/>
      <c r="AYT552"/>
      <c r="AYU552"/>
      <c r="AYV552"/>
      <c r="AYW552"/>
      <c r="AYX552"/>
      <c r="AYY552"/>
      <c r="AYZ552"/>
      <c r="AZA552"/>
      <c r="AZB552"/>
      <c r="AZC552"/>
      <c r="AZD552"/>
      <c r="AZE552"/>
      <c r="AZF552"/>
      <c r="AZG552"/>
      <c r="AZH552"/>
      <c r="AZI552"/>
      <c r="AZJ552"/>
      <c r="AZK552"/>
      <c r="AZL552"/>
      <c r="AZM552"/>
      <c r="AZN552"/>
      <c r="AZO552"/>
      <c r="AZP552"/>
      <c r="AZQ552"/>
      <c r="AZR552"/>
      <c r="AZS552"/>
      <c r="AZT552"/>
      <c r="AZU552"/>
      <c r="AZV552"/>
      <c r="AZW552"/>
      <c r="AZX552"/>
      <c r="AZY552"/>
      <c r="AZZ552"/>
      <c r="BAA552"/>
      <c r="BAB552"/>
      <c r="BAC552"/>
      <c r="BAD552"/>
      <c r="BAE552"/>
      <c r="BAF552"/>
      <c r="BAG552"/>
      <c r="BAH552"/>
      <c r="BAI552"/>
      <c r="BAJ552"/>
      <c r="BAK552"/>
      <c r="BAL552"/>
      <c r="BAM552"/>
      <c r="BAN552"/>
      <c r="BAO552"/>
      <c r="BAP552"/>
      <c r="BAQ552"/>
      <c r="BAR552"/>
      <c r="BAS552"/>
      <c r="BAT552"/>
      <c r="BAU552"/>
      <c r="BAV552"/>
      <c r="BAW552"/>
      <c r="BAX552"/>
      <c r="BAY552"/>
      <c r="BAZ552"/>
      <c r="BBA552"/>
      <c r="BBB552"/>
      <c r="BBC552"/>
      <c r="BBD552"/>
      <c r="BBE552"/>
      <c r="BBF552"/>
      <c r="BBG552"/>
      <c r="BBH552"/>
      <c r="BBI552"/>
      <c r="BBJ552"/>
      <c r="BBK552"/>
      <c r="BBL552"/>
      <c r="BBM552"/>
      <c r="BBN552"/>
      <c r="BBO552"/>
      <c r="BBP552"/>
      <c r="BBQ552"/>
      <c r="BBR552"/>
      <c r="BBS552"/>
      <c r="BBT552"/>
      <c r="BBU552"/>
      <c r="BBV552"/>
      <c r="BBW552"/>
      <c r="BBX552"/>
      <c r="BBY552"/>
      <c r="BBZ552"/>
      <c r="BCA552"/>
      <c r="BCB552"/>
      <c r="BCC552"/>
      <c r="BCD552"/>
      <c r="BCE552"/>
      <c r="BCF552"/>
      <c r="BCG552"/>
      <c r="BCH552"/>
      <c r="BCI552"/>
      <c r="BCJ552"/>
      <c r="BCK552"/>
      <c r="BCL552"/>
      <c r="BCM552"/>
      <c r="BCN552"/>
      <c r="BCO552"/>
      <c r="BCP552"/>
      <c r="BCQ552"/>
      <c r="BCR552"/>
      <c r="BCS552"/>
      <c r="BCT552"/>
      <c r="BCU552"/>
      <c r="BCV552"/>
      <c r="BCW552"/>
      <c r="BCX552"/>
      <c r="BCY552"/>
      <c r="BCZ552"/>
      <c r="BDA552"/>
      <c r="BDB552"/>
      <c r="BDC552"/>
      <c r="BDD552"/>
      <c r="BDE552"/>
      <c r="BDF552"/>
      <c r="BDG552"/>
      <c r="BDH552"/>
      <c r="BDI552"/>
      <c r="BDJ552"/>
      <c r="BDK552"/>
      <c r="BDL552"/>
      <c r="BDM552"/>
      <c r="BDN552"/>
      <c r="BDO552"/>
      <c r="BDP552"/>
      <c r="BDQ552"/>
      <c r="BDR552"/>
      <c r="BDS552"/>
      <c r="BDT552"/>
      <c r="BDU552"/>
      <c r="BDV552"/>
      <c r="BDW552"/>
      <c r="BDX552"/>
      <c r="BDY552"/>
      <c r="BDZ552"/>
      <c r="BEA552"/>
      <c r="BEB552"/>
      <c r="BEC552"/>
      <c r="BED552"/>
      <c r="BEE552"/>
      <c r="BEF552"/>
      <c r="BEG552"/>
      <c r="BEH552"/>
      <c r="BEI552"/>
      <c r="BEJ552"/>
      <c r="BEK552"/>
      <c r="BEL552"/>
      <c r="BEM552"/>
      <c r="BEN552"/>
      <c r="BEO552"/>
      <c r="BEP552"/>
      <c r="BEQ552"/>
      <c r="BER552"/>
      <c r="BES552"/>
      <c r="BET552"/>
      <c r="BEU552"/>
      <c r="BEV552"/>
      <c r="BEW552"/>
      <c r="BEX552"/>
      <c r="BEY552"/>
      <c r="BEZ552"/>
      <c r="BFA552"/>
      <c r="BFB552"/>
      <c r="BFC552"/>
      <c r="BFD552"/>
      <c r="BFE552"/>
      <c r="BFF552"/>
      <c r="BFG552"/>
      <c r="BFH552"/>
      <c r="BFI552"/>
      <c r="BFJ552"/>
      <c r="BFK552"/>
      <c r="BFL552"/>
      <c r="BFM552"/>
      <c r="BFN552"/>
      <c r="BFO552"/>
      <c r="BFP552"/>
      <c r="BFQ552"/>
      <c r="BFR552"/>
      <c r="BFS552"/>
      <c r="BFT552"/>
      <c r="BFU552"/>
      <c r="BFV552"/>
      <c r="BFW552"/>
      <c r="BFX552"/>
      <c r="BFY552"/>
      <c r="BFZ552"/>
      <c r="BGA552"/>
      <c r="BGB552"/>
      <c r="BGC552"/>
      <c r="BGD552"/>
      <c r="BGE552"/>
      <c r="BGF552"/>
      <c r="BGG552"/>
      <c r="BGH552"/>
      <c r="BGI552"/>
      <c r="BGJ552"/>
      <c r="BGK552"/>
      <c r="BGL552"/>
      <c r="BGM552"/>
      <c r="BGN552"/>
      <c r="BGO552"/>
      <c r="BGP552"/>
      <c r="BGQ552"/>
      <c r="BGR552"/>
      <c r="BGS552"/>
      <c r="BGT552"/>
      <c r="BGU552"/>
      <c r="BGV552"/>
      <c r="BGW552"/>
      <c r="BGX552"/>
      <c r="BGY552"/>
      <c r="BGZ552"/>
      <c r="BHA552"/>
      <c r="BHB552"/>
      <c r="BHC552"/>
      <c r="BHD552"/>
      <c r="BHE552"/>
      <c r="BHF552"/>
      <c r="BHG552"/>
      <c r="BHH552"/>
      <c r="BHI552"/>
      <c r="BHJ552"/>
      <c r="BHK552"/>
      <c r="BHL552"/>
      <c r="BHM552"/>
      <c r="BHN552"/>
      <c r="BHO552"/>
      <c r="BHP552"/>
      <c r="BHQ552"/>
      <c r="BHR552"/>
      <c r="BHS552"/>
      <c r="BHT552"/>
      <c r="BHU552"/>
      <c r="BHV552"/>
      <c r="BHW552"/>
      <c r="BHX552"/>
      <c r="BHY552"/>
      <c r="BHZ552"/>
      <c r="BIA552"/>
      <c r="BIB552"/>
      <c r="BIC552"/>
      <c r="BID552"/>
      <c r="BIE552"/>
      <c r="BIF552"/>
      <c r="BIG552"/>
      <c r="BIH552"/>
      <c r="BII552"/>
      <c r="BIJ552"/>
      <c r="BIK552"/>
      <c r="BIL552"/>
      <c r="BIM552"/>
      <c r="BIN552"/>
      <c r="BIO552"/>
      <c r="BIP552"/>
      <c r="BIQ552"/>
      <c r="BIR552"/>
      <c r="BIS552"/>
      <c r="BIT552"/>
      <c r="BIU552"/>
      <c r="BIV552"/>
      <c r="BIW552"/>
      <c r="BIX552"/>
      <c r="BIY552"/>
      <c r="BIZ552"/>
      <c r="BJA552"/>
      <c r="BJB552"/>
      <c r="BJC552"/>
      <c r="BJD552"/>
      <c r="BJE552"/>
      <c r="BJF552"/>
      <c r="BJG552"/>
      <c r="BJH552"/>
      <c r="BJI552"/>
      <c r="BJJ552"/>
      <c r="BJK552"/>
      <c r="BJL552"/>
      <c r="BJM552"/>
      <c r="BJN552"/>
      <c r="BJO552"/>
      <c r="BJP552"/>
      <c r="BJQ552"/>
      <c r="BJR552"/>
      <c r="BJS552"/>
      <c r="BJT552"/>
      <c r="BJU552"/>
      <c r="BJV552"/>
      <c r="BJW552"/>
      <c r="BJX552"/>
      <c r="BJY552"/>
      <c r="BJZ552"/>
      <c r="BKA552"/>
      <c r="BKB552"/>
      <c r="BKC552"/>
      <c r="BKD552"/>
      <c r="BKE552"/>
      <c r="BKF552"/>
      <c r="BKG552"/>
      <c r="BKH552"/>
      <c r="BKI552"/>
      <c r="BKJ552"/>
      <c r="BKK552"/>
      <c r="BKL552"/>
      <c r="BKM552"/>
      <c r="BKN552"/>
      <c r="BKO552"/>
      <c r="BKP552"/>
      <c r="BKQ552"/>
      <c r="BKR552"/>
      <c r="BKS552"/>
      <c r="BKT552"/>
      <c r="BKU552"/>
      <c r="BKV552"/>
      <c r="BKW552"/>
      <c r="BKX552"/>
      <c r="BKY552"/>
      <c r="BKZ552"/>
      <c r="BLA552"/>
      <c r="BLB552"/>
      <c r="BLC552"/>
      <c r="BLD552"/>
      <c r="BLE552"/>
      <c r="BLF552"/>
      <c r="BLG552"/>
      <c r="BLH552"/>
      <c r="BLI552"/>
      <c r="BLJ552"/>
      <c r="BLK552"/>
      <c r="BLL552"/>
      <c r="BLM552"/>
      <c r="BLN552"/>
      <c r="BLO552"/>
      <c r="BLP552"/>
      <c r="BLQ552"/>
      <c r="BLR552"/>
      <c r="BLS552"/>
      <c r="BLT552"/>
      <c r="BLU552"/>
      <c r="BLV552"/>
      <c r="BLW552"/>
      <c r="BLX552"/>
      <c r="BLY552"/>
      <c r="BLZ552"/>
      <c r="BMA552"/>
      <c r="BMB552"/>
      <c r="BMC552"/>
      <c r="BMD552"/>
      <c r="BME552"/>
      <c r="BMF552"/>
      <c r="BMG552"/>
      <c r="BMH552"/>
      <c r="BMI552"/>
      <c r="BMJ552"/>
      <c r="BMK552"/>
      <c r="BML552"/>
      <c r="BMM552"/>
      <c r="BMN552"/>
      <c r="BMO552"/>
      <c r="BMP552"/>
      <c r="BMQ552"/>
      <c r="BMR552"/>
      <c r="BMS552"/>
      <c r="BMT552"/>
      <c r="BMU552"/>
      <c r="BMV552"/>
      <c r="BMW552"/>
      <c r="BMX552"/>
      <c r="BMY552"/>
      <c r="BMZ552"/>
      <c r="BNA552"/>
      <c r="BNB552"/>
      <c r="BNC552"/>
      <c r="BND552"/>
      <c r="BNE552"/>
      <c r="BNF552"/>
      <c r="BNG552"/>
      <c r="BNH552"/>
      <c r="BNI552"/>
      <c r="BNJ552"/>
      <c r="BNK552"/>
      <c r="BNL552"/>
      <c r="BNM552"/>
      <c r="BNN552"/>
      <c r="BNO552"/>
      <c r="BNP552"/>
      <c r="BNQ552"/>
      <c r="BNR552"/>
      <c r="BNS552"/>
      <c r="BNT552"/>
      <c r="BNU552"/>
      <c r="BNV552"/>
      <c r="BNW552"/>
      <c r="BNX552"/>
      <c r="BNY552"/>
      <c r="BNZ552"/>
      <c r="BOA552"/>
      <c r="BOB552"/>
      <c r="BOC552"/>
      <c r="BOD552"/>
      <c r="BOE552"/>
      <c r="BOF552"/>
      <c r="BOG552"/>
      <c r="BOH552"/>
      <c r="BOI552"/>
      <c r="BOJ552"/>
      <c r="BOK552"/>
      <c r="BOL552"/>
      <c r="BOM552"/>
      <c r="BON552"/>
      <c r="BOO552"/>
      <c r="BOP552"/>
      <c r="BOQ552"/>
      <c r="BOR552"/>
      <c r="BOS552"/>
      <c r="BOT552"/>
      <c r="BOU552"/>
      <c r="BOV552"/>
      <c r="BOW552"/>
      <c r="BOX552"/>
      <c r="BOY552"/>
      <c r="BOZ552"/>
      <c r="BPA552"/>
      <c r="BPB552"/>
      <c r="BPC552"/>
      <c r="BPD552"/>
      <c r="BPE552"/>
      <c r="BPF552"/>
      <c r="BPG552"/>
      <c r="BPH552"/>
      <c r="BPI552"/>
      <c r="BPJ552"/>
      <c r="BPK552"/>
      <c r="BPL552"/>
      <c r="BPM552"/>
      <c r="BPN552"/>
      <c r="BPO552"/>
      <c r="BPP552"/>
      <c r="BPQ552"/>
      <c r="BPR552"/>
      <c r="BPS552"/>
      <c r="BPT552"/>
      <c r="BPU552"/>
      <c r="BPV552"/>
      <c r="BPW552"/>
      <c r="BPX552"/>
      <c r="BPY552"/>
      <c r="BPZ552"/>
      <c r="BQA552"/>
      <c r="BQB552"/>
      <c r="BQC552"/>
      <c r="BQD552"/>
      <c r="BQE552"/>
      <c r="BQF552"/>
      <c r="BQG552"/>
      <c r="BQH552"/>
      <c r="BQI552"/>
      <c r="BQJ552"/>
      <c r="BQK552"/>
      <c r="BQL552"/>
      <c r="BQM552"/>
      <c r="BQN552"/>
      <c r="BQO552"/>
      <c r="BQP552"/>
      <c r="BQQ552"/>
      <c r="BQR552"/>
      <c r="BQS552"/>
      <c r="BQT552"/>
      <c r="BQU552"/>
      <c r="BQV552"/>
      <c r="BQW552"/>
      <c r="BQX552"/>
      <c r="BQY552"/>
      <c r="BQZ552"/>
      <c r="BRA552"/>
      <c r="BRB552"/>
      <c r="BRC552"/>
      <c r="BRD552"/>
      <c r="BRE552"/>
      <c r="BRF552"/>
      <c r="BRG552"/>
      <c r="BRH552"/>
      <c r="BRI552"/>
      <c r="BRJ552"/>
      <c r="BRK552"/>
      <c r="BRL552"/>
      <c r="BRM552"/>
      <c r="BRN552"/>
      <c r="BRO552"/>
      <c r="BRP552"/>
      <c r="BRQ552"/>
      <c r="BRR552"/>
      <c r="BRS552"/>
      <c r="BRT552"/>
      <c r="BRU552"/>
      <c r="BRV552"/>
      <c r="BRW552"/>
      <c r="BRX552"/>
      <c r="BRY552"/>
      <c r="BRZ552"/>
      <c r="BSA552"/>
      <c r="BSB552"/>
      <c r="BSC552"/>
      <c r="BSD552"/>
      <c r="BSE552"/>
      <c r="BSF552"/>
      <c r="BSG552"/>
      <c r="BSH552"/>
      <c r="BSI552"/>
      <c r="BSJ552"/>
      <c r="BSK552"/>
      <c r="BSL552"/>
      <c r="BSM552"/>
      <c r="BSN552"/>
      <c r="BSO552"/>
      <c r="BSP552"/>
      <c r="BSQ552"/>
      <c r="BSR552"/>
      <c r="BSS552"/>
      <c r="BST552"/>
      <c r="BSU552"/>
      <c r="BSV552"/>
      <c r="BSW552"/>
      <c r="BSX552"/>
      <c r="BSY552"/>
      <c r="BSZ552"/>
      <c r="BTA552"/>
      <c r="BTB552"/>
      <c r="BTC552"/>
      <c r="BTD552"/>
      <c r="BTE552"/>
      <c r="BTF552"/>
      <c r="BTG552"/>
      <c r="BTH552"/>
      <c r="BTI552"/>
      <c r="BTJ552"/>
      <c r="BTK552"/>
      <c r="BTL552"/>
      <c r="BTM552"/>
      <c r="BTN552"/>
      <c r="BTO552"/>
      <c r="BTP552"/>
      <c r="BTQ552"/>
      <c r="BTR552"/>
      <c r="BTS552"/>
      <c r="BTT552"/>
      <c r="BTU552"/>
      <c r="BTV552"/>
      <c r="BTW552"/>
      <c r="BTX552"/>
      <c r="BTY552"/>
      <c r="BTZ552"/>
      <c r="BUA552"/>
      <c r="BUB552"/>
      <c r="BUC552"/>
      <c r="BUD552"/>
      <c r="BUE552"/>
      <c r="BUF552"/>
      <c r="BUG552"/>
      <c r="BUH552"/>
      <c r="BUI552"/>
      <c r="BUJ552"/>
      <c r="BUK552"/>
      <c r="BUL552"/>
      <c r="BUM552"/>
      <c r="BUN552"/>
      <c r="BUO552"/>
      <c r="BUP552"/>
      <c r="BUQ552"/>
      <c r="BUR552"/>
      <c r="BUS552"/>
      <c r="BUT552"/>
      <c r="BUU552"/>
      <c r="BUV552"/>
      <c r="BUW552"/>
      <c r="BUX552"/>
      <c r="BUY552"/>
      <c r="BUZ552"/>
      <c r="BVA552"/>
      <c r="BVB552"/>
      <c r="BVC552"/>
      <c r="BVD552"/>
      <c r="BVE552"/>
      <c r="BVF552"/>
      <c r="BVG552"/>
      <c r="BVH552"/>
      <c r="BVI552"/>
      <c r="BVJ552"/>
      <c r="BVK552"/>
      <c r="BVL552"/>
      <c r="BVM552"/>
      <c r="BVN552"/>
      <c r="BVO552"/>
      <c r="BVP552"/>
      <c r="BVQ552"/>
      <c r="BVR552"/>
      <c r="BVS552"/>
      <c r="BVT552"/>
      <c r="BVU552"/>
      <c r="BVV552"/>
      <c r="BVW552"/>
      <c r="BVX552"/>
      <c r="BVY552"/>
      <c r="BVZ552"/>
      <c r="BWA552"/>
      <c r="BWB552"/>
      <c r="BWC552"/>
      <c r="BWD552"/>
      <c r="BWE552"/>
      <c r="BWF552"/>
      <c r="BWG552"/>
      <c r="BWH552"/>
      <c r="BWI552"/>
      <c r="BWJ552"/>
      <c r="BWK552"/>
      <c r="BWL552"/>
      <c r="BWM552"/>
      <c r="BWN552"/>
      <c r="BWO552"/>
      <c r="BWP552"/>
      <c r="BWQ552"/>
      <c r="BWR552"/>
      <c r="BWS552"/>
      <c r="BWT552"/>
      <c r="BWU552"/>
      <c r="BWV552"/>
      <c r="BWW552"/>
      <c r="BWX552"/>
      <c r="BWY552"/>
      <c r="BWZ552"/>
      <c r="BXA552"/>
      <c r="BXB552"/>
      <c r="BXC552"/>
      <c r="BXD552"/>
      <c r="BXE552"/>
      <c r="BXF552"/>
      <c r="BXG552"/>
      <c r="BXH552"/>
      <c r="BXI552"/>
      <c r="BXJ552"/>
      <c r="BXK552"/>
      <c r="BXL552"/>
      <c r="BXM552"/>
      <c r="BXN552"/>
      <c r="BXO552"/>
      <c r="BXP552"/>
      <c r="BXQ552"/>
      <c r="BXR552"/>
      <c r="BXS552"/>
      <c r="BXT552"/>
      <c r="BXU552"/>
      <c r="BXV552"/>
      <c r="BXW552"/>
      <c r="BXX552"/>
      <c r="BXY552"/>
      <c r="BXZ552"/>
      <c r="BYA552"/>
      <c r="BYB552"/>
      <c r="BYC552"/>
      <c r="BYD552"/>
      <c r="BYE552"/>
      <c r="BYF552"/>
      <c r="BYG552"/>
      <c r="BYH552"/>
      <c r="BYI552"/>
      <c r="BYJ552"/>
      <c r="BYK552"/>
      <c r="BYL552"/>
      <c r="BYM552"/>
      <c r="BYN552"/>
      <c r="BYO552"/>
      <c r="BYP552"/>
      <c r="BYQ552"/>
      <c r="BYR552"/>
      <c r="BYS552"/>
      <c r="BYT552"/>
      <c r="BYU552"/>
      <c r="BYV552"/>
      <c r="BYW552"/>
      <c r="BYX552"/>
      <c r="BYY552"/>
      <c r="BYZ552"/>
      <c r="BZA552"/>
      <c r="BZB552"/>
      <c r="BZC552"/>
      <c r="BZD552"/>
      <c r="BZE552"/>
      <c r="BZF552"/>
      <c r="BZG552"/>
      <c r="BZH552"/>
      <c r="BZI552"/>
      <c r="BZJ552"/>
      <c r="BZK552"/>
      <c r="BZL552"/>
      <c r="BZM552"/>
      <c r="BZN552"/>
      <c r="BZO552"/>
      <c r="BZP552"/>
      <c r="BZQ552"/>
      <c r="BZR552"/>
      <c r="BZS552"/>
      <c r="BZT552"/>
      <c r="BZU552"/>
      <c r="BZV552"/>
      <c r="BZW552"/>
      <c r="BZX552"/>
      <c r="BZY552"/>
      <c r="BZZ552"/>
      <c r="CAA552"/>
      <c r="CAB552"/>
      <c r="CAC552"/>
      <c r="CAD552"/>
      <c r="CAE552"/>
      <c r="CAF552"/>
      <c r="CAG552"/>
      <c r="CAH552"/>
      <c r="CAI552"/>
      <c r="CAJ552"/>
      <c r="CAK552"/>
      <c r="CAL552"/>
      <c r="CAM552"/>
      <c r="CAN552"/>
      <c r="CAO552"/>
      <c r="CAP552"/>
      <c r="CAQ552"/>
      <c r="CAR552"/>
      <c r="CAS552"/>
      <c r="CAT552"/>
      <c r="CAU552"/>
      <c r="CAV552"/>
      <c r="CAW552"/>
      <c r="CAX552"/>
      <c r="CAY552"/>
      <c r="CAZ552"/>
      <c r="CBA552"/>
      <c r="CBB552"/>
      <c r="CBC552"/>
      <c r="CBD552"/>
      <c r="CBE552"/>
      <c r="CBF552"/>
      <c r="CBG552"/>
      <c r="CBH552"/>
      <c r="CBI552"/>
      <c r="CBJ552"/>
      <c r="CBK552"/>
      <c r="CBL552"/>
      <c r="CBM552"/>
      <c r="CBN552"/>
      <c r="CBO552"/>
      <c r="CBP552"/>
      <c r="CBQ552"/>
      <c r="CBR552"/>
      <c r="CBS552"/>
      <c r="CBT552"/>
      <c r="CBU552"/>
      <c r="CBV552"/>
      <c r="CBW552"/>
      <c r="CBX552"/>
      <c r="CBY552"/>
      <c r="CBZ552"/>
      <c r="CCA552"/>
      <c r="CCB552"/>
      <c r="CCC552"/>
      <c r="CCD552"/>
      <c r="CCE552"/>
      <c r="CCF552"/>
      <c r="CCG552"/>
      <c r="CCH552"/>
      <c r="CCI552"/>
      <c r="CCJ552"/>
      <c r="CCK552"/>
      <c r="CCL552"/>
      <c r="CCM552"/>
      <c r="CCN552"/>
      <c r="CCO552"/>
      <c r="CCP552"/>
      <c r="CCQ552"/>
      <c r="CCR552"/>
      <c r="CCS552"/>
      <c r="CCT552"/>
      <c r="CCU552"/>
      <c r="CCV552"/>
      <c r="CCW552"/>
      <c r="CCX552"/>
      <c r="CCY552"/>
      <c r="CCZ552"/>
      <c r="CDA552"/>
      <c r="CDB552"/>
      <c r="CDC552"/>
      <c r="CDD552"/>
      <c r="CDE552"/>
      <c r="CDF552"/>
      <c r="CDG552"/>
      <c r="CDH552"/>
      <c r="CDI552"/>
      <c r="CDJ552"/>
      <c r="CDK552"/>
      <c r="CDL552"/>
      <c r="CDM552"/>
      <c r="CDN552"/>
      <c r="CDO552"/>
      <c r="CDP552"/>
      <c r="CDQ552"/>
      <c r="CDR552"/>
      <c r="CDS552"/>
      <c r="CDT552"/>
      <c r="CDU552"/>
      <c r="CDV552"/>
      <c r="CDW552"/>
      <c r="CDX552"/>
      <c r="CDY552"/>
      <c r="CDZ552"/>
      <c r="CEA552"/>
      <c r="CEB552"/>
      <c r="CEC552"/>
      <c r="CED552"/>
      <c r="CEE552"/>
      <c r="CEF552"/>
      <c r="CEG552"/>
      <c r="CEH552"/>
      <c r="CEI552"/>
      <c r="CEJ552"/>
      <c r="CEK552"/>
      <c r="CEL552"/>
      <c r="CEM552"/>
      <c r="CEN552"/>
      <c r="CEO552"/>
      <c r="CEP552"/>
      <c r="CEQ552"/>
      <c r="CER552"/>
      <c r="CES552"/>
      <c r="CET552"/>
      <c r="CEU552"/>
      <c r="CEV552"/>
      <c r="CEW552"/>
      <c r="CEX552"/>
      <c r="CEY552"/>
      <c r="CEZ552"/>
      <c r="CFA552"/>
      <c r="CFB552"/>
      <c r="CFC552"/>
      <c r="CFD552"/>
      <c r="CFE552"/>
      <c r="CFF552"/>
      <c r="CFG552"/>
      <c r="CFH552"/>
      <c r="CFI552"/>
      <c r="CFJ552"/>
      <c r="CFK552"/>
      <c r="CFL552"/>
      <c r="CFM552"/>
      <c r="CFN552"/>
      <c r="CFO552"/>
      <c r="CFP552"/>
      <c r="CFQ552"/>
      <c r="CFR552"/>
      <c r="CFS552"/>
      <c r="CFT552"/>
      <c r="CFU552"/>
      <c r="CFV552"/>
      <c r="CFW552"/>
      <c r="CFX552"/>
      <c r="CFY552"/>
      <c r="CFZ552"/>
      <c r="CGA552"/>
      <c r="CGB552"/>
      <c r="CGC552"/>
      <c r="CGD552"/>
      <c r="CGE552"/>
      <c r="CGF552"/>
      <c r="CGG552"/>
      <c r="CGH552"/>
      <c r="CGI552"/>
      <c r="CGJ552"/>
      <c r="CGK552"/>
      <c r="CGL552"/>
      <c r="CGM552"/>
      <c r="CGN552"/>
      <c r="CGO552"/>
      <c r="CGP552"/>
      <c r="CGQ552"/>
      <c r="CGR552"/>
      <c r="CGS552"/>
      <c r="CGT552"/>
      <c r="CGU552"/>
      <c r="CGV552"/>
      <c r="CGW552"/>
      <c r="CGX552"/>
      <c r="CGY552"/>
      <c r="CGZ552"/>
      <c r="CHA552"/>
      <c r="CHB552"/>
      <c r="CHC552"/>
      <c r="CHD552"/>
      <c r="CHE552"/>
      <c r="CHF552"/>
      <c r="CHG552"/>
      <c r="CHH552"/>
      <c r="CHI552"/>
      <c r="CHJ552"/>
      <c r="CHK552"/>
      <c r="CHL552"/>
      <c r="CHM552"/>
      <c r="CHN552"/>
      <c r="CHO552"/>
      <c r="CHP552"/>
      <c r="CHQ552"/>
      <c r="CHR552"/>
      <c r="CHS552"/>
      <c r="CHT552"/>
      <c r="CHU552"/>
      <c r="CHV552"/>
      <c r="CHW552"/>
      <c r="CHX552"/>
      <c r="CHY552"/>
      <c r="CHZ552"/>
      <c r="CIA552"/>
      <c r="CIB552"/>
      <c r="CIC552"/>
      <c r="CID552"/>
      <c r="CIE552"/>
      <c r="CIF552"/>
      <c r="CIG552"/>
      <c r="CIH552"/>
      <c r="CII552"/>
      <c r="CIJ552"/>
      <c r="CIK552"/>
      <c r="CIL552"/>
      <c r="CIM552"/>
      <c r="CIN552"/>
      <c r="CIO552"/>
      <c r="CIP552"/>
      <c r="CIQ552"/>
      <c r="CIR552"/>
      <c r="CIS552"/>
      <c r="CIT552"/>
      <c r="CIU552"/>
      <c r="CIV552"/>
      <c r="CIW552"/>
      <c r="CIX552"/>
      <c r="CIY552"/>
      <c r="CIZ552"/>
      <c r="CJA552"/>
      <c r="CJB552"/>
      <c r="CJC552"/>
      <c r="CJD552"/>
      <c r="CJE552"/>
      <c r="CJF552"/>
      <c r="CJG552"/>
      <c r="CJH552"/>
      <c r="CJI552"/>
      <c r="CJJ552"/>
      <c r="CJK552"/>
      <c r="CJL552"/>
      <c r="CJM552"/>
      <c r="CJN552"/>
      <c r="CJO552"/>
      <c r="CJP552"/>
      <c r="CJQ552"/>
      <c r="CJR552"/>
      <c r="CJS552"/>
      <c r="CJT552"/>
      <c r="CJU552"/>
      <c r="CJV552"/>
      <c r="CJW552"/>
      <c r="CJX552"/>
      <c r="CJY552"/>
      <c r="CJZ552"/>
      <c r="CKA552"/>
      <c r="CKB552"/>
      <c r="CKC552"/>
      <c r="CKD552"/>
      <c r="CKE552"/>
      <c r="CKF552"/>
      <c r="CKG552"/>
      <c r="CKH552"/>
      <c r="CKI552"/>
      <c r="CKJ552"/>
      <c r="CKK552"/>
      <c r="CKL552"/>
      <c r="CKM552"/>
      <c r="CKN552"/>
      <c r="CKO552"/>
      <c r="CKP552"/>
      <c r="CKQ552"/>
      <c r="CKR552"/>
      <c r="CKS552"/>
      <c r="CKT552"/>
      <c r="CKU552"/>
      <c r="CKV552"/>
      <c r="CKW552"/>
      <c r="CKX552"/>
      <c r="CKY552"/>
      <c r="CKZ552"/>
      <c r="CLA552"/>
      <c r="CLB552"/>
      <c r="CLC552"/>
      <c r="CLD552"/>
      <c r="CLE552"/>
      <c r="CLF552"/>
      <c r="CLG552"/>
      <c r="CLH552"/>
      <c r="CLI552"/>
      <c r="CLJ552"/>
      <c r="CLK552"/>
      <c r="CLL552"/>
      <c r="CLM552"/>
      <c r="CLN552"/>
      <c r="CLO552"/>
      <c r="CLP552"/>
      <c r="CLQ552"/>
      <c r="CLR552"/>
      <c r="CLS552"/>
      <c r="CLT552"/>
      <c r="CLU552"/>
      <c r="CLV552"/>
      <c r="CLW552"/>
      <c r="CLX552"/>
      <c r="CLY552"/>
      <c r="CLZ552"/>
      <c r="CMA552"/>
      <c r="CMB552"/>
      <c r="CMC552"/>
      <c r="CMD552"/>
      <c r="CME552"/>
      <c r="CMF552"/>
      <c r="CMG552"/>
      <c r="CMH552"/>
      <c r="CMI552"/>
      <c r="CMJ552"/>
      <c r="CMK552"/>
      <c r="CML552"/>
      <c r="CMM552"/>
      <c r="CMN552"/>
      <c r="CMO552"/>
      <c r="CMP552"/>
      <c r="CMQ552"/>
      <c r="CMR552"/>
      <c r="CMS552"/>
      <c r="CMT552"/>
      <c r="CMU552"/>
      <c r="CMV552"/>
      <c r="CMW552"/>
      <c r="CMX552"/>
      <c r="CMY552"/>
      <c r="CMZ552"/>
      <c r="CNA552"/>
      <c r="CNB552"/>
      <c r="CNC552"/>
      <c r="CND552"/>
      <c r="CNE552"/>
      <c r="CNF552"/>
      <c r="CNG552"/>
      <c r="CNH552"/>
      <c r="CNI552"/>
      <c r="CNJ552"/>
      <c r="CNK552"/>
      <c r="CNL552"/>
      <c r="CNM552"/>
      <c r="CNN552"/>
      <c r="CNO552"/>
      <c r="CNP552"/>
      <c r="CNQ552"/>
      <c r="CNR552"/>
      <c r="CNS552"/>
      <c r="CNT552"/>
      <c r="CNU552"/>
      <c r="CNV552"/>
      <c r="CNW552"/>
      <c r="CNX552"/>
      <c r="CNY552"/>
      <c r="CNZ552"/>
      <c r="COA552"/>
      <c r="COB552"/>
      <c r="COC552"/>
      <c r="COD552"/>
      <c r="COE552"/>
      <c r="COF552"/>
      <c r="COG552"/>
      <c r="COH552"/>
      <c r="COI552"/>
      <c r="COJ552"/>
      <c r="COK552"/>
      <c r="COL552"/>
      <c r="COM552"/>
      <c r="CON552"/>
      <c r="COO552"/>
      <c r="COP552"/>
      <c r="COQ552"/>
      <c r="COR552"/>
      <c r="COS552"/>
      <c r="COT552"/>
      <c r="COU552"/>
      <c r="COV552"/>
      <c r="COW552"/>
      <c r="COX552"/>
      <c r="COY552"/>
      <c r="COZ552"/>
      <c r="CPA552"/>
      <c r="CPB552"/>
      <c r="CPC552"/>
      <c r="CPD552"/>
      <c r="CPE552"/>
      <c r="CPF552"/>
      <c r="CPG552"/>
      <c r="CPH552"/>
      <c r="CPI552"/>
      <c r="CPJ552"/>
      <c r="CPK552"/>
      <c r="CPL552"/>
      <c r="CPM552"/>
      <c r="CPN552"/>
      <c r="CPO552"/>
      <c r="CPP552"/>
      <c r="CPQ552"/>
      <c r="CPR552"/>
      <c r="CPS552"/>
      <c r="CPT552"/>
      <c r="CPU552"/>
      <c r="CPV552"/>
      <c r="CPW552"/>
      <c r="CPX552"/>
      <c r="CPY552"/>
      <c r="CPZ552"/>
      <c r="CQA552"/>
      <c r="CQB552"/>
      <c r="CQC552"/>
      <c r="CQD552"/>
      <c r="CQE552"/>
      <c r="CQF552"/>
      <c r="CQG552"/>
      <c r="CQH552"/>
      <c r="CQI552"/>
      <c r="CQJ552"/>
      <c r="CQK552"/>
      <c r="CQL552"/>
      <c r="CQM552"/>
      <c r="CQN552"/>
      <c r="CQO552"/>
      <c r="CQP552"/>
      <c r="CQQ552"/>
      <c r="CQR552"/>
      <c r="CQS552"/>
      <c r="CQT552"/>
      <c r="CQU552"/>
      <c r="CQV552"/>
      <c r="CQW552"/>
      <c r="CQX552"/>
      <c r="CQY552"/>
      <c r="CQZ552"/>
      <c r="CRA552"/>
      <c r="CRB552"/>
      <c r="CRC552"/>
      <c r="CRD552"/>
      <c r="CRE552"/>
      <c r="CRF552"/>
      <c r="CRG552"/>
      <c r="CRH552"/>
      <c r="CRI552"/>
      <c r="CRJ552"/>
      <c r="CRK552"/>
      <c r="CRL552"/>
      <c r="CRM552"/>
      <c r="CRN552"/>
      <c r="CRO552"/>
      <c r="CRP552"/>
      <c r="CRQ552"/>
      <c r="CRR552"/>
      <c r="CRS552"/>
      <c r="CRT552"/>
      <c r="CRU552"/>
      <c r="CRV552"/>
      <c r="CRW552"/>
      <c r="CRX552"/>
      <c r="CRY552"/>
      <c r="CRZ552"/>
      <c r="CSA552"/>
      <c r="CSB552"/>
      <c r="CSC552"/>
      <c r="CSD552"/>
      <c r="CSE552"/>
      <c r="CSF552"/>
      <c r="CSG552"/>
      <c r="CSH552"/>
      <c r="CSI552"/>
      <c r="CSJ552"/>
      <c r="CSK552"/>
      <c r="CSL552"/>
      <c r="CSM552"/>
      <c r="CSN552"/>
      <c r="CSO552"/>
      <c r="CSP552"/>
      <c r="CSQ552"/>
      <c r="CSR552"/>
      <c r="CSS552"/>
      <c r="CST552"/>
      <c r="CSU552"/>
      <c r="CSV552"/>
      <c r="CSW552"/>
      <c r="CSX552"/>
      <c r="CSY552"/>
      <c r="CSZ552"/>
      <c r="CTA552"/>
      <c r="CTB552"/>
      <c r="CTC552"/>
      <c r="CTD552"/>
      <c r="CTE552"/>
      <c r="CTF552"/>
      <c r="CTG552"/>
      <c r="CTH552"/>
      <c r="CTI552"/>
      <c r="CTJ552"/>
      <c r="CTK552"/>
      <c r="CTL552"/>
      <c r="CTM552"/>
      <c r="CTN552"/>
      <c r="CTO552"/>
      <c r="CTP552"/>
      <c r="CTQ552"/>
      <c r="CTR552"/>
      <c r="CTS552"/>
      <c r="CTT552"/>
      <c r="CTU552"/>
      <c r="CTV552"/>
      <c r="CTW552"/>
      <c r="CTX552"/>
      <c r="CTY552"/>
      <c r="CTZ552"/>
      <c r="CUA552"/>
      <c r="CUB552"/>
      <c r="CUC552"/>
      <c r="CUD552"/>
      <c r="CUE552"/>
      <c r="CUF552"/>
      <c r="CUG552"/>
      <c r="CUH552"/>
      <c r="CUI552"/>
      <c r="CUJ552"/>
      <c r="CUK552"/>
      <c r="CUL552"/>
      <c r="CUM552"/>
      <c r="CUN552"/>
      <c r="CUO552"/>
      <c r="CUP552"/>
      <c r="CUQ552"/>
      <c r="CUR552"/>
      <c r="CUS552"/>
      <c r="CUT552"/>
      <c r="CUU552"/>
      <c r="CUV552"/>
      <c r="CUW552"/>
      <c r="CUX552"/>
      <c r="CUY552"/>
      <c r="CUZ552"/>
      <c r="CVA552"/>
      <c r="CVB552"/>
      <c r="CVC552"/>
      <c r="CVD552"/>
      <c r="CVE552"/>
      <c r="CVF552"/>
      <c r="CVG552"/>
      <c r="CVH552"/>
      <c r="CVI552"/>
      <c r="CVJ552"/>
      <c r="CVK552"/>
      <c r="CVL552"/>
      <c r="CVM552"/>
      <c r="CVN552"/>
      <c r="CVO552"/>
      <c r="CVP552"/>
      <c r="CVQ552"/>
      <c r="CVR552"/>
      <c r="CVS552"/>
      <c r="CVT552"/>
      <c r="CVU552"/>
      <c r="CVV552"/>
      <c r="CVW552"/>
      <c r="CVX552"/>
      <c r="CVY552"/>
      <c r="CVZ552"/>
      <c r="CWA552"/>
      <c r="CWB552"/>
      <c r="CWC552"/>
      <c r="CWD552"/>
      <c r="CWE552"/>
      <c r="CWF552"/>
      <c r="CWG552"/>
      <c r="CWH552"/>
      <c r="CWI552"/>
      <c r="CWJ552"/>
      <c r="CWK552"/>
      <c r="CWL552"/>
      <c r="CWM552"/>
      <c r="CWN552"/>
      <c r="CWO552"/>
      <c r="CWP552"/>
      <c r="CWQ552"/>
      <c r="CWR552"/>
      <c r="CWS552"/>
      <c r="CWT552"/>
      <c r="CWU552"/>
      <c r="CWV552"/>
      <c r="CWW552"/>
      <c r="CWX552"/>
      <c r="CWY552"/>
      <c r="CWZ552"/>
      <c r="CXA552"/>
      <c r="CXB552"/>
      <c r="CXC552"/>
      <c r="CXD552"/>
      <c r="CXE552"/>
      <c r="CXF552"/>
      <c r="CXG552"/>
      <c r="CXH552"/>
      <c r="CXI552"/>
      <c r="CXJ552"/>
      <c r="CXK552"/>
      <c r="CXL552"/>
      <c r="CXM552"/>
      <c r="CXN552"/>
      <c r="CXO552"/>
      <c r="CXP552"/>
      <c r="CXQ552"/>
      <c r="CXR552"/>
      <c r="CXS552"/>
      <c r="CXT552"/>
      <c r="CXU552"/>
      <c r="CXV552"/>
      <c r="CXW552"/>
      <c r="CXX552"/>
      <c r="CXY552"/>
      <c r="CXZ552"/>
      <c r="CYA552"/>
      <c r="CYB552"/>
      <c r="CYC552"/>
      <c r="CYD552"/>
      <c r="CYE552"/>
      <c r="CYF552"/>
      <c r="CYG552"/>
      <c r="CYH552"/>
      <c r="CYI552"/>
      <c r="CYJ552"/>
      <c r="CYK552"/>
      <c r="CYL552"/>
      <c r="CYM552"/>
      <c r="CYN552"/>
      <c r="CYO552"/>
      <c r="CYP552"/>
      <c r="CYQ552"/>
      <c r="CYR552"/>
      <c r="CYS552"/>
      <c r="CYT552"/>
      <c r="CYU552"/>
      <c r="CYV552"/>
      <c r="CYW552"/>
      <c r="CYX552"/>
      <c r="CYY552"/>
      <c r="CYZ552"/>
      <c r="CZA552"/>
      <c r="CZB552"/>
      <c r="CZC552"/>
      <c r="CZD552"/>
      <c r="CZE552"/>
      <c r="CZF552"/>
      <c r="CZG552"/>
      <c r="CZH552"/>
      <c r="CZI552"/>
      <c r="CZJ552"/>
      <c r="CZK552"/>
      <c r="CZL552"/>
      <c r="CZM552"/>
      <c r="CZN552"/>
      <c r="CZO552"/>
      <c r="CZP552"/>
      <c r="CZQ552"/>
      <c r="CZR552"/>
      <c r="CZS552"/>
      <c r="CZT552"/>
      <c r="CZU552"/>
      <c r="CZV552"/>
      <c r="CZW552"/>
      <c r="CZX552"/>
      <c r="CZY552"/>
      <c r="CZZ552"/>
      <c r="DAA552"/>
      <c r="DAB552"/>
      <c r="DAC552"/>
      <c r="DAD552"/>
      <c r="DAE552"/>
      <c r="DAF552"/>
      <c r="DAG552"/>
      <c r="DAH552"/>
      <c r="DAI552"/>
      <c r="DAJ552"/>
      <c r="DAK552"/>
      <c r="DAL552"/>
      <c r="DAM552"/>
      <c r="DAN552"/>
      <c r="DAO552"/>
      <c r="DAP552"/>
      <c r="DAQ552"/>
      <c r="DAR552"/>
      <c r="DAS552"/>
      <c r="DAT552"/>
      <c r="DAU552"/>
      <c r="DAV552"/>
      <c r="DAW552"/>
      <c r="DAX552"/>
      <c r="DAY552"/>
      <c r="DAZ552"/>
      <c r="DBA552"/>
      <c r="DBB552"/>
      <c r="DBC552"/>
      <c r="DBD552"/>
      <c r="DBE552"/>
      <c r="DBF552"/>
      <c r="DBG552"/>
      <c r="DBH552"/>
      <c r="DBI552"/>
      <c r="DBJ552"/>
      <c r="DBK552"/>
      <c r="DBL552"/>
      <c r="DBM552"/>
      <c r="DBN552"/>
      <c r="DBO552"/>
      <c r="DBP552"/>
      <c r="DBQ552"/>
      <c r="DBR552"/>
      <c r="DBS552"/>
      <c r="DBT552"/>
      <c r="DBU552"/>
      <c r="DBV552"/>
      <c r="DBW552"/>
      <c r="DBX552"/>
      <c r="DBY552"/>
      <c r="DBZ552"/>
      <c r="DCA552"/>
      <c r="DCB552"/>
      <c r="DCC552"/>
      <c r="DCD552"/>
      <c r="DCE552"/>
      <c r="DCF552"/>
      <c r="DCG552"/>
      <c r="DCH552"/>
      <c r="DCI552"/>
      <c r="DCJ552"/>
      <c r="DCK552"/>
      <c r="DCL552"/>
      <c r="DCM552"/>
      <c r="DCN552"/>
      <c r="DCO552"/>
      <c r="DCP552"/>
      <c r="DCQ552"/>
      <c r="DCR552"/>
      <c r="DCS552"/>
      <c r="DCT552"/>
      <c r="DCU552"/>
      <c r="DCV552"/>
      <c r="DCW552"/>
      <c r="DCX552"/>
      <c r="DCY552"/>
      <c r="DCZ552"/>
      <c r="DDA552"/>
      <c r="DDB552"/>
      <c r="DDC552"/>
      <c r="DDD552"/>
      <c r="DDE552"/>
      <c r="DDF552"/>
      <c r="DDG552"/>
      <c r="DDH552"/>
      <c r="DDI552"/>
      <c r="DDJ552"/>
      <c r="DDK552"/>
      <c r="DDL552"/>
      <c r="DDM552"/>
      <c r="DDN552"/>
      <c r="DDO552"/>
      <c r="DDP552"/>
      <c r="DDQ552"/>
      <c r="DDR552"/>
      <c r="DDS552"/>
      <c r="DDT552"/>
      <c r="DDU552"/>
      <c r="DDV552"/>
      <c r="DDW552"/>
      <c r="DDX552"/>
      <c r="DDY552"/>
      <c r="DDZ552"/>
      <c r="DEA552"/>
      <c r="DEB552"/>
      <c r="DEC552"/>
      <c r="DED552"/>
      <c r="DEE552"/>
      <c r="DEF552"/>
      <c r="DEG552"/>
      <c r="DEH552"/>
      <c r="DEI552"/>
      <c r="DEJ552"/>
      <c r="DEK552"/>
      <c r="DEL552"/>
      <c r="DEM552"/>
      <c r="DEN552"/>
      <c r="DEO552"/>
      <c r="DEP552"/>
      <c r="DEQ552"/>
      <c r="DER552"/>
      <c r="DES552"/>
      <c r="DET552"/>
      <c r="DEU552"/>
      <c r="DEV552"/>
      <c r="DEW552"/>
      <c r="DEX552"/>
      <c r="DEY552"/>
      <c r="DEZ552"/>
      <c r="DFA552"/>
      <c r="DFB552"/>
      <c r="DFC552"/>
      <c r="DFD552"/>
      <c r="DFE552"/>
      <c r="DFF552"/>
      <c r="DFG552"/>
      <c r="DFH552"/>
      <c r="DFI552"/>
      <c r="DFJ552"/>
      <c r="DFK552"/>
      <c r="DFL552"/>
      <c r="DFM552"/>
      <c r="DFN552"/>
      <c r="DFO552"/>
      <c r="DFP552"/>
      <c r="DFQ552"/>
      <c r="DFR552"/>
      <c r="DFS552"/>
      <c r="DFT552"/>
      <c r="DFU552"/>
      <c r="DFV552"/>
      <c r="DFW552"/>
      <c r="DFX552"/>
      <c r="DFY552"/>
      <c r="DFZ552"/>
      <c r="DGA552"/>
      <c r="DGB552"/>
      <c r="DGC552"/>
      <c r="DGD552"/>
      <c r="DGE552"/>
      <c r="DGF552"/>
      <c r="DGG552"/>
      <c r="DGH552"/>
      <c r="DGI552"/>
      <c r="DGJ552"/>
      <c r="DGK552"/>
      <c r="DGL552"/>
      <c r="DGM552"/>
      <c r="DGN552"/>
      <c r="DGO552"/>
      <c r="DGP552"/>
      <c r="DGQ552"/>
      <c r="DGR552"/>
      <c r="DGS552"/>
      <c r="DGT552"/>
      <c r="DGU552"/>
      <c r="DGV552"/>
      <c r="DGW552"/>
      <c r="DGX552"/>
      <c r="DGY552"/>
      <c r="DGZ552"/>
      <c r="DHA552"/>
      <c r="DHB552"/>
      <c r="DHC552"/>
      <c r="DHD552"/>
      <c r="DHE552"/>
      <c r="DHF552"/>
      <c r="DHG552"/>
      <c r="DHH552"/>
      <c r="DHI552"/>
      <c r="DHJ552"/>
      <c r="DHK552"/>
      <c r="DHL552"/>
      <c r="DHM552"/>
      <c r="DHN552"/>
      <c r="DHO552"/>
      <c r="DHP552"/>
      <c r="DHQ552"/>
      <c r="DHR552"/>
      <c r="DHS552"/>
      <c r="DHT552"/>
      <c r="DHU552"/>
      <c r="DHV552"/>
      <c r="DHW552"/>
      <c r="DHX552"/>
      <c r="DHY552"/>
      <c r="DHZ552"/>
      <c r="DIA552"/>
      <c r="DIB552"/>
      <c r="DIC552"/>
      <c r="DID552"/>
      <c r="DIE552"/>
      <c r="DIF552"/>
      <c r="DIG552"/>
      <c r="DIH552"/>
      <c r="DII552"/>
      <c r="DIJ552"/>
      <c r="DIK552"/>
      <c r="DIL552"/>
      <c r="DIM552"/>
      <c r="DIN552"/>
      <c r="DIO552"/>
      <c r="DIP552"/>
      <c r="DIQ552"/>
      <c r="DIR552"/>
      <c r="DIS552"/>
      <c r="DIT552"/>
      <c r="DIU552"/>
      <c r="DIV552"/>
      <c r="DIW552"/>
      <c r="DIX552"/>
      <c r="DIY552"/>
      <c r="DIZ552"/>
      <c r="DJA552"/>
      <c r="DJB552"/>
      <c r="DJC552"/>
      <c r="DJD552"/>
      <c r="DJE552"/>
      <c r="DJF552"/>
      <c r="DJG552"/>
      <c r="DJH552"/>
      <c r="DJI552"/>
      <c r="DJJ552"/>
      <c r="DJK552"/>
      <c r="DJL552"/>
      <c r="DJM552"/>
      <c r="DJN552"/>
      <c r="DJO552"/>
      <c r="DJP552"/>
      <c r="DJQ552"/>
      <c r="DJR552"/>
      <c r="DJS552"/>
      <c r="DJT552"/>
      <c r="DJU552"/>
      <c r="DJV552"/>
      <c r="DJW552"/>
      <c r="DJX552"/>
      <c r="DJY552"/>
      <c r="DJZ552"/>
      <c r="DKA552"/>
      <c r="DKB552"/>
      <c r="DKC552"/>
      <c r="DKD552"/>
      <c r="DKE552"/>
      <c r="DKF552"/>
      <c r="DKG552"/>
      <c r="DKH552"/>
      <c r="DKI552"/>
      <c r="DKJ552"/>
      <c r="DKK552"/>
      <c r="DKL552"/>
      <c r="DKM552"/>
      <c r="DKN552"/>
      <c r="DKO552"/>
      <c r="DKP552"/>
      <c r="DKQ552"/>
      <c r="DKR552"/>
      <c r="DKS552"/>
      <c r="DKT552"/>
      <c r="DKU552"/>
      <c r="DKV552"/>
      <c r="DKW552"/>
      <c r="DKX552"/>
      <c r="DKY552"/>
      <c r="DKZ552"/>
      <c r="DLA552"/>
      <c r="DLB552"/>
      <c r="DLC552"/>
      <c r="DLD552"/>
      <c r="DLE552"/>
      <c r="DLF552"/>
      <c r="DLG552"/>
      <c r="DLH552"/>
      <c r="DLI552"/>
      <c r="DLJ552"/>
      <c r="DLK552"/>
      <c r="DLL552"/>
      <c r="DLM552"/>
      <c r="DLN552"/>
      <c r="DLO552"/>
      <c r="DLP552"/>
      <c r="DLQ552"/>
      <c r="DLR552"/>
      <c r="DLS552"/>
      <c r="DLT552"/>
      <c r="DLU552"/>
      <c r="DLV552"/>
      <c r="DLW552"/>
      <c r="DLX552"/>
      <c r="DLY552"/>
      <c r="DLZ552"/>
      <c r="DMA552"/>
      <c r="DMB552"/>
      <c r="DMC552"/>
      <c r="DMD552"/>
      <c r="DME552"/>
      <c r="DMF552"/>
      <c r="DMG552"/>
      <c r="DMH552"/>
      <c r="DMI552"/>
      <c r="DMJ552"/>
      <c r="DMK552"/>
      <c r="DML552"/>
      <c r="DMM552"/>
      <c r="DMN552"/>
      <c r="DMO552"/>
      <c r="DMP552"/>
      <c r="DMQ552"/>
      <c r="DMR552"/>
      <c r="DMS552"/>
      <c r="DMT552"/>
      <c r="DMU552"/>
      <c r="DMV552"/>
      <c r="DMW552"/>
      <c r="DMX552"/>
      <c r="DMY552"/>
      <c r="DMZ552"/>
      <c r="DNA552"/>
      <c r="DNB552"/>
      <c r="DNC552"/>
      <c r="DND552"/>
      <c r="DNE552"/>
      <c r="DNF552"/>
      <c r="DNG552"/>
      <c r="DNH552"/>
      <c r="DNI552"/>
      <c r="DNJ552"/>
      <c r="DNK552"/>
      <c r="DNL552"/>
      <c r="DNM552"/>
      <c r="DNN552"/>
      <c r="DNO552"/>
      <c r="DNP552"/>
      <c r="DNQ552"/>
      <c r="DNR552"/>
      <c r="DNS552"/>
      <c r="DNT552"/>
      <c r="DNU552"/>
      <c r="DNV552"/>
      <c r="DNW552"/>
      <c r="DNX552"/>
      <c r="DNY552"/>
      <c r="DNZ552"/>
      <c r="DOA552"/>
      <c r="DOB552"/>
      <c r="DOC552"/>
      <c r="DOD552"/>
      <c r="DOE552"/>
      <c r="DOF552"/>
      <c r="DOG552"/>
      <c r="DOH552"/>
      <c r="DOI552"/>
      <c r="DOJ552"/>
      <c r="DOK552"/>
      <c r="DOL552"/>
      <c r="DOM552"/>
      <c r="DON552"/>
      <c r="DOO552"/>
      <c r="DOP552"/>
      <c r="DOQ552"/>
      <c r="DOR552"/>
      <c r="DOS552"/>
      <c r="DOT552"/>
      <c r="DOU552"/>
      <c r="DOV552"/>
      <c r="DOW552"/>
      <c r="DOX552"/>
      <c r="DOY552"/>
      <c r="DOZ552"/>
      <c r="DPA552"/>
      <c r="DPB552"/>
      <c r="DPC552"/>
      <c r="DPD552"/>
      <c r="DPE552"/>
      <c r="DPF552"/>
      <c r="DPG552"/>
      <c r="DPH552"/>
      <c r="DPI552"/>
      <c r="DPJ552"/>
      <c r="DPK552"/>
      <c r="DPL552"/>
      <c r="DPM552"/>
      <c r="DPN552"/>
      <c r="DPO552"/>
      <c r="DPP552"/>
      <c r="DPQ552"/>
      <c r="DPR552"/>
      <c r="DPS552"/>
      <c r="DPT552"/>
      <c r="DPU552"/>
      <c r="DPV552"/>
      <c r="DPW552"/>
      <c r="DPX552"/>
      <c r="DPY552"/>
      <c r="DPZ552"/>
      <c r="DQA552"/>
      <c r="DQB552"/>
      <c r="DQC552"/>
      <c r="DQD552"/>
      <c r="DQE552"/>
      <c r="DQF552"/>
      <c r="DQG552"/>
      <c r="DQH552"/>
      <c r="DQI552"/>
      <c r="DQJ552"/>
      <c r="DQK552"/>
      <c r="DQL552"/>
      <c r="DQM552"/>
      <c r="DQN552"/>
      <c r="DQO552"/>
      <c r="DQP552"/>
      <c r="DQQ552"/>
      <c r="DQR552"/>
      <c r="DQS552"/>
      <c r="DQT552"/>
      <c r="DQU552"/>
      <c r="DQV552"/>
      <c r="DQW552"/>
      <c r="DQX552"/>
      <c r="DQY552"/>
      <c r="DQZ552"/>
      <c r="DRA552"/>
      <c r="DRB552"/>
      <c r="DRC552"/>
      <c r="DRD552"/>
      <c r="DRE552"/>
      <c r="DRF552"/>
      <c r="DRG552"/>
      <c r="DRH552"/>
      <c r="DRI552"/>
      <c r="DRJ552"/>
      <c r="DRK552"/>
      <c r="DRL552"/>
      <c r="DRM552"/>
      <c r="DRN552"/>
      <c r="DRO552"/>
      <c r="DRP552"/>
      <c r="DRQ552"/>
      <c r="DRR552"/>
      <c r="DRS552"/>
      <c r="DRT552"/>
      <c r="DRU552"/>
      <c r="DRV552"/>
      <c r="DRW552"/>
      <c r="DRX552"/>
      <c r="DRY552"/>
      <c r="DRZ552"/>
      <c r="DSA552"/>
      <c r="DSB552"/>
      <c r="DSC552"/>
      <c r="DSD552"/>
      <c r="DSE552"/>
      <c r="DSF552"/>
      <c r="DSG552"/>
      <c r="DSH552"/>
      <c r="DSI552"/>
      <c r="DSJ552"/>
      <c r="DSK552"/>
      <c r="DSL552"/>
      <c r="DSM552"/>
      <c r="DSN552"/>
      <c r="DSO552"/>
      <c r="DSP552"/>
      <c r="DSQ552"/>
      <c r="DSR552"/>
      <c r="DSS552"/>
      <c r="DST552"/>
      <c r="DSU552"/>
      <c r="DSV552"/>
      <c r="DSW552"/>
      <c r="DSX552"/>
      <c r="DSY552"/>
      <c r="DSZ552"/>
      <c r="DTA552"/>
      <c r="DTB552"/>
      <c r="DTC552"/>
      <c r="DTD552"/>
      <c r="DTE552"/>
      <c r="DTF552"/>
      <c r="DTG552"/>
      <c r="DTH552"/>
      <c r="DTI552"/>
      <c r="DTJ552"/>
      <c r="DTK552"/>
      <c r="DTL552"/>
      <c r="DTM552"/>
      <c r="DTN552"/>
      <c r="DTO552"/>
      <c r="DTP552"/>
      <c r="DTQ552"/>
      <c r="DTR552"/>
      <c r="DTS552"/>
      <c r="DTT552"/>
      <c r="DTU552"/>
      <c r="DTV552"/>
      <c r="DTW552"/>
      <c r="DTX552"/>
      <c r="DTY552"/>
      <c r="DTZ552"/>
      <c r="DUA552"/>
      <c r="DUB552"/>
      <c r="DUC552"/>
      <c r="DUD552"/>
      <c r="DUE552"/>
      <c r="DUF552"/>
      <c r="DUG552"/>
      <c r="DUH552"/>
      <c r="DUI552"/>
      <c r="DUJ552"/>
      <c r="DUK552"/>
      <c r="DUL552"/>
      <c r="DUM552"/>
      <c r="DUN552"/>
      <c r="DUO552"/>
      <c r="DUP552"/>
      <c r="DUQ552"/>
      <c r="DUR552"/>
      <c r="DUS552"/>
      <c r="DUT552"/>
      <c r="DUU552"/>
      <c r="DUV552"/>
      <c r="DUW552"/>
      <c r="DUX552"/>
      <c r="DUY552"/>
      <c r="DUZ552"/>
      <c r="DVA552"/>
      <c r="DVB552"/>
      <c r="DVC552"/>
      <c r="DVD552"/>
      <c r="DVE552"/>
      <c r="DVF552"/>
      <c r="DVG552"/>
      <c r="DVH552"/>
      <c r="DVI552"/>
      <c r="DVJ552"/>
      <c r="DVK552"/>
      <c r="DVL552"/>
      <c r="DVM552"/>
      <c r="DVN552"/>
      <c r="DVO552"/>
      <c r="DVP552"/>
      <c r="DVQ552"/>
      <c r="DVR552"/>
      <c r="DVS552"/>
      <c r="DVT552"/>
      <c r="DVU552"/>
      <c r="DVV552"/>
      <c r="DVW552"/>
      <c r="DVX552"/>
      <c r="DVY552"/>
      <c r="DVZ552"/>
      <c r="DWA552"/>
      <c r="DWB552"/>
      <c r="DWC552"/>
      <c r="DWD552"/>
      <c r="DWE552"/>
      <c r="DWF552"/>
      <c r="DWG552"/>
      <c r="DWH552"/>
      <c r="DWI552"/>
      <c r="DWJ552"/>
      <c r="DWK552"/>
      <c r="DWL552"/>
      <c r="DWM552"/>
      <c r="DWN552"/>
      <c r="DWO552"/>
      <c r="DWP552"/>
      <c r="DWQ552"/>
      <c r="DWR552"/>
      <c r="DWS552"/>
      <c r="DWT552"/>
      <c r="DWU552"/>
      <c r="DWV552"/>
      <c r="DWW552"/>
      <c r="DWX552"/>
      <c r="DWY552"/>
      <c r="DWZ552"/>
      <c r="DXA552"/>
      <c r="DXB552"/>
      <c r="DXC552"/>
      <c r="DXD552"/>
      <c r="DXE552"/>
      <c r="DXF552"/>
      <c r="DXG552"/>
      <c r="DXH552"/>
      <c r="DXI552"/>
      <c r="DXJ552"/>
      <c r="DXK552"/>
      <c r="DXL552"/>
      <c r="DXM552"/>
      <c r="DXN552"/>
      <c r="DXO552"/>
      <c r="DXP552"/>
      <c r="DXQ552"/>
      <c r="DXR552"/>
      <c r="DXS552"/>
      <c r="DXT552"/>
      <c r="DXU552"/>
      <c r="DXV552"/>
      <c r="DXW552"/>
      <c r="DXX552"/>
      <c r="DXY552"/>
      <c r="DXZ552"/>
      <c r="DYA552"/>
      <c r="DYB552"/>
      <c r="DYC552"/>
      <c r="DYD552"/>
      <c r="DYE552"/>
      <c r="DYF552"/>
      <c r="DYG552"/>
      <c r="DYH552"/>
      <c r="DYI552"/>
      <c r="DYJ552"/>
      <c r="DYK552"/>
      <c r="DYL552"/>
      <c r="DYM552"/>
      <c r="DYN552"/>
      <c r="DYO552"/>
      <c r="DYP552"/>
      <c r="DYQ552"/>
      <c r="DYR552"/>
      <c r="DYS552"/>
      <c r="DYT552"/>
      <c r="DYU552"/>
      <c r="DYV552"/>
      <c r="DYW552"/>
      <c r="DYX552"/>
      <c r="DYY552"/>
      <c r="DYZ552"/>
      <c r="DZA552"/>
      <c r="DZB552"/>
      <c r="DZC552"/>
      <c r="DZD552"/>
      <c r="DZE552"/>
      <c r="DZF552"/>
      <c r="DZG552"/>
      <c r="DZH552"/>
      <c r="DZI552"/>
      <c r="DZJ552"/>
      <c r="DZK552"/>
      <c r="DZL552"/>
      <c r="DZM552"/>
      <c r="DZN552"/>
      <c r="DZO552"/>
      <c r="DZP552"/>
      <c r="DZQ552"/>
      <c r="DZR552"/>
      <c r="DZS552"/>
      <c r="DZT552"/>
      <c r="DZU552"/>
      <c r="DZV552"/>
      <c r="DZW552"/>
      <c r="DZX552"/>
      <c r="DZY552"/>
      <c r="DZZ552"/>
      <c r="EAA552"/>
      <c r="EAB552"/>
      <c r="EAC552"/>
      <c r="EAD552"/>
      <c r="EAE552"/>
      <c r="EAF552"/>
      <c r="EAG552"/>
      <c r="EAH552"/>
      <c r="EAI552"/>
      <c r="EAJ552"/>
      <c r="EAK552"/>
      <c r="EAL552"/>
      <c r="EAM552"/>
      <c r="EAN552"/>
      <c r="EAO552"/>
      <c r="EAP552"/>
      <c r="EAQ552"/>
      <c r="EAR552"/>
      <c r="EAS552"/>
      <c r="EAT552"/>
      <c r="EAU552"/>
      <c r="EAV552"/>
      <c r="EAW552"/>
      <c r="EAX552"/>
      <c r="EAY552"/>
      <c r="EAZ552"/>
      <c r="EBA552"/>
      <c r="EBB552"/>
      <c r="EBC552"/>
      <c r="EBD552"/>
      <c r="EBE552"/>
      <c r="EBF552"/>
      <c r="EBG552"/>
      <c r="EBH552"/>
      <c r="EBI552"/>
      <c r="EBJ552"/>
      <c r="EBK552"/>
      <c r="EBL552"/>
      <c r="EBM552"/>
      <c r="EBN552"/>
      <c r="EBO552"/>
      <c r="EBP552"/>
      <c r="EBQ552"/>
      <c r="EBR552"/>
      <c r="EBS552"/>
      <c r="EBT552"/>
      <c r="EBU552"/>
      <c r="EBV552"/>
      <c r="EBW552"/>
      <c r="EBX552"/>
      <c r="EBY552"/>
      <c r="EBZ552"/>
      <c r="ECA552"/>
      <c r="ECB552"/>
      <c r="ECC552"/>
      <c r="ECD552"/>
      <c r="ECE552"/>
      <c r="ECF552"/>
      <c r="ECG552"/>
      <c r="ECH552"/>
      <c r="ECI552"/>
      <c r="ECJ552"/>
      <c r="ECK552"/>
      <c r="ECL552"/>
      <c r="ECM552"/>
      <c r="ECN552"/>
      <c r="ECO552"/>
      <c r="ECP552"/>
      <c r="ECQ552"/>
      <c r="ECR552"/>
      <c r="ECS552"/>
      <c r="ECT552"/>
      <c r="ECU552"/>
      <c r="ECV552"/>
      <c r="ECW552"/>
      <c r="ECX552"/>
      <c r="ECY552"/>
      <c r="ECZ552"/>
      <c r="EDA552"/>
      <c r="EDB552"/>
      <c r="EDC552"/>
      <c r="EDD552"/>
      <c r="EDE552"/>
      <c r="EDF552"/>
      <c r="EDG552"/>
      <c r="EDH552"/>
      <c r="EDI552"/>
      <c r="EDJ552"/>
      <c r="EDK552"/>
      <c r="EDL552"/>
      <c r="EDM552"/>
      <c r="EDN552"/>
      <c r="EDO552"/>
      <c r="EDP552"/>
      <c r="EDQ552"/>
      <c r="EDR552"/>
      <c r="EDS552"/>
      <c r="EDT552"/>
      <c r="EDU552"/>
      <c r="EDV552"/>
      <c r="EDW552"/>
      <c r="EDX552"/>
      <c r="EDY552"/>
      <c r="EDZ552"/>
      <c r="EEA552"/>
      <c r="EEB552"/>
      <c r="EEC552"/>
      <c r="EED552"/>
      <c r="EEE552"/>
      <c r="EEF552"/>
      <c r="EEG552"/>
      <c r="EEH552"/>
      <c r="EEI552"/>
      <c r="EEJ552"/>
      <c r="EEK552"/>
      <c r="EEL552"/>
      <c r="EEM552"/>
      <c r="EEN552"/>
      <c r="EEO552"/>
      <c r="EEP552"/>
      <c r="EEQ552"/>
      <c r="EER552"/>
      <c r="EES552"/>
      <c r="EET552"/>
      <c r="EEU552"/>
      <c r="EEV552"/>
      <c r="EEW552"/>
      <c r="EEX552"/>
      <c r="EEY552"/>
      <c r="EEZ552"/>
      <c r="EFA552"/>
      <c r="EFB552"/>
      <c r="EFC552"/>
      <c r="EFD552"/>
      <c r="EFE552"/>
      <c r="EFF552"/>
      <c r="EFG552"/>
      <c r="EFH552"/>
      <c r="EFI552"/>
      <c r="EFJ552"/>
      <c r="EFK552"/>
      <c r="EFL552"/>
      <c r="EFM552"/>
      <c r="EFN552"/>
      <c r="EFO552"/>
      <c r="EFP552"/>
      <c r="EFQ552"/>
      <c r="EFR552"/>
      <c r="EFS552"/>
      <c r="EFT552"/>
      <c r="EFU552"/>
      <c r="EFV552"/>
      <c r="EFW552"/>
      <c r="EFX552"/>
      <c r="EFY552"/>
      <c r="EFZ552"/>
      <c r="EGA552"/>
      <c r="EGB552"/>
      <c r="EGC552"/>
      <c r="EGD552"/>
      <c r="EGE552"/>
      <c r="EGF552"/>
      <c r="EGG552"/>
      <c r="EGH552"/>
      <c r="EGI552"/>
      <c r="EGJ552"/>
      <c r="EGK552"/>
      <c r="EGL552"/>
      <c r="EGM552"/>
      <c r="EGN552"/>
      <c r="EGO552"/>
      <c r="EGP552"/>
      <c r="EGQ552"/>
      <c r="EGR552"/>
      <c r="EGS552"/>
      <c r="EGT552"/>
      <c r="EGU552"/>
      <c r="EGV552"/>
      <c r="EGW552"/>
      <c r="EGX552"/>
      <c r="EGY552"/>
      <c r="EGZ552"/>
      <c r="EHA552"/>
      <c r="EHB552"/>
      <c r="EHC552"/>
      <c r="EHD552"/>
      <c r="EHE552"/>
      <c r="EHF552"/>
      <c r="EHG552"/>
      <c r="EHH552"/>
      <c r="EHI552"/>
      <c r="EHJ552"/>
      <c r="EHK552"/>
      <c r="EHL552"/>
      <c r="EHM552"/>
      <c r="EHN552"/>
      <c r="EHO552"/>
      <c r="EHP552"/>
      <c r="EHQ552"/>
      <c r="EHR552"/>
      <c r="EHS552"/>
      <c r="EHT552"/>
      <c r="EHU552"/>
      <c r="EHV552"/>
      <c r="EHW552"/>
      <c r="EHX552"/>
      <c r="EHY552"/>
      <c r="EHZ552"/>
      <c r="EIA552"/>
      <c r="EIB552"/>
      <c r="EIC552"/>
      <c r="EID552"/>
      <c r="EIE552"/>
      <c r="EIF552"/>
      <c r="EIG552"/>
      <c r="EIH552"/>
      <c r="EII552"/>
      <c r="EIJ552"/>
      <c r="EIK552"/>
      <c r="EIL552"/>
      <c r="EIM552"/>
      <c r="EIN552"/>
      <c r="EIO552"/>
      <c r="EIP552"/>
      <c r="EIQ552"/>
      <c r="EIR552"/>
      <c r="EIS552"/>
      <c r="EIT552"/>
      <c r="EIU552"/>
      <c r="EIV552"/>
      <c r="EIW552"/>
      <c r="EIX552"/>
      <c r="EIY552"/>
      <c r="EIZ552"/>
      <c r="EJA552"/>
      <c r="EJB552"/>
      <c r="EJC552"/>
      <c r="EJD552"/>
      <c r="EJE552"/>
      <c r="EJF552"/>
      <c r="EJG552"/>
      <c r="EJH552"/>
      <c r="EJI552"/>
      <c r="EJJ552"/>
      <c r="EJK552"/>
      <c r="EJL552"/>
      <c r="EJM552"/>
      <c r="EJN552"/>
      <c r="EJO552"/>
      <c r="EJP552"/>
      <c r="EJQ552"/>
      <c r="EJR552"/>
      <c r="EJS552"/>
      <c r="EJT552"/>
      <c r="EJU552"/>
      <c r="EJV552"/>
      <c r="EJW552"/>
      <c r="EJX552"/>
      <c r="EJY552"/>
      <c r="EJZ552"/>
      <c r="EKA552"/>
      <c r="EKB552"/>
      <c r="EKC552"/>
      <c r="EKD552"/>
      <c r="EKE552"/>
      <c r="EKF552"/>
      <c r="EKG552"/>
      <c r="EKH552"/>
      <c r="EKI552"/>
      <c r="EKJ552"/>
      <c r="EKK552"/>
      <c r="EKL552"/>
      <c r="EKM552"/>
      <c r="EKN552"/>
      <c r="EKO552"/>
      <c r="EKP552"/>
      <c r="EKQ552"/>
      <c r="EKR552"/>
      <c r="EKS552"/>
      <c r="EKT552"/>
      <c r="EKU552"/>
      <c r="EKV552"/>
      <c r="EKW552"/>
      <c r="EKX552"/>
      <c r="EKY552"/>
      <c r="EKZ552"/>
      <c r="ELA552"/>
      <c r="ELB552"/>
      <c r="ELC552"/>
      <c r="ELD552"/>
      <c r="ELE552"/>
      <c r="ELF552"/>
      <c r="ELG552"/>
      <c r="ELH552"/>
      <c r="ELI552"/>
      <c r="ELJ552"/>
      <c r="ELK552"/>
      <c r="ELL552"/>
      <c r="ELM552"/>
      <c r="ELN552"/>
      <c r="ELO552"/>
      <c r="ELP552"/>
      <c r="ELQ552"/>
      <c r="ELR552"/>
      <c r="ELS552"/>
      <c r="ELT552"/>
      <c r="ELU552"/>
      <c r="ELV552"/>
      <c r="ELW552"/>
      <c r="ELX552"/>
      <c r="ELY552"/>
      <c r="ELZ552"/>
      <c r="EMA552"/>
      <c r="EMB552"/>
      <c r="EMC552"/>
      <c r="EMD552"/>
      <c r="EME552"/>
      <c r="EMF552"/>
      <c r="EMG552"/>
      <c r="EMH552"/>
      <c r="EMI552"/>
      <c r="EMJ552"/>
      <c r="EMK552"/>
      <c r="EML552"/>
      <c r="EMM552"/>
      <c r="EMN552"/>
      <c r="EMO552"/>
      <c r="EMP552"/>
      <c r="EMQ552"/>
      <c r="EMR552"/>
      <c r="EMS552"/>
      <c r="EMT552"/>
      <c r="EMU552"/>
      <c r="EMV552"/>
      <c r="EMW552"/>
      <c r="EMX552"/>
      <c r="EMY552"/>
      <c r="EMZ552"/>
      <c r="ENA552"/>
      <c r="ENB552"/>
      <c r="ENC552"/>
      <c r="END552"/>
      <c r="ENE552"/>
      <c r="ENF552"/>
      <c r="ENG552"/>
      <c r="ENH552"/>
      <c r="ENI552"/>
      <c r="ENJ552"/>
      <c r="ENK552"/>
      <c r="ENL552"/>
      <c r="ENM552"/>
      <c r="ENN552"/>
      <c r="ENO552"/>
      <c r="ENP552"/>
      <c r="ENQ552"/>
      <c r="ENR552"/>
      <c r="ENS552"/>
      <c r="ENT552"/>
      <c r="ENU552"/>
      <c r="ENV552"/>
      <c r="ENW552"/>
      <c r="ENX552"/>
      <c r="ENY552"/>
      <c r="ENZ552"/>
      <c r="EOA552"/>
      <c r="EOB552"/>
      <c r="EOC552"/>
      <c r="EOD552"/>
      <c r="EOE552"/>
      <c r="EOF552"/>
      <c r="EOG552"/>
      <c r="EOH552"/>
      <c r="EOI552"/>
      <c r="EOJ552"/>
      <c r="EOK552"/>
      <c r="EOL552"/>
      <c r="EOM552"/>
      <c r="EON552"/>
      <c r="EOO552"/>
      <c r="EOP552"/>
      <c r="EOQ552"/>
      <c r="EOR552"/>
      <c r="EOS552"/>
      <c r="EOT552"/>
      <c r="EOU552"/>
      <c r="EOV552"/>
      <c r="EOW552"/>
      <c r="EOX552"/>
      <c r="EOY552"/>
      <c r="EOZ552"/>
      <c r="EPA552"/>
      <c r="EPB552"/>
      <c r="EPC552"/>
      <c r="EPD552"/>
      <c r="EPE552"/>
      <c r="EPF552"/>
      <c r="EPG552"/>
      <c r="EPH552"/>
      <c r="EPI552"/>
      <c r="EPJ552"/>
      <c r="EPK552"/>
      <c r="EPL552"/>
      <c r="EPM552"/>
      <c r="EPN552"/>
      <c r="EPO552"/>
      <c r="EPP552"/>
      <c r="EPQ552"/>
      <c r="EPR552"/>
      <c r="EPS552"/>
      <c r="EPT552"/>
      <c r="EPU552"/>
      <c r="EPV552"/>
      <c r="EPW552"/>
      <c r="EPX552"/>
      <c r="EPY552"/>
      <c r="EPZ552"/>
      <c r="EQA552"/>
      <c r="EQB552"/>
      <c r="EQC552"/>
      <c r="EQD552"/>
      <c r="EQE552"/>
      <c r="EQF552"/>
      <c r="EQG552"/>
      <c r="EQH552"/>
      <c r="EQI552"/>
      <c r="EQJ552"/>
      <c r="EQK552"/>
      <c r="EQL552"/>
      <c r="EQM552"/>
      <c r="EQN552"/>
      <c r="EQO552"/>
      <c r="EQP552"/>
      <c r="EQQ552"/>
      <c r="EQR552"/>
      <c r="EQS552"/>
      <c r="EQT552"/>
      <c r="EQU552"/>
      <c r="EQV552"/>
      <c r="EQW552"/>
      <c r="EQX552"/>
      <c r="EQY552"/>
      <c r="EQZ552"/>
      <c r="ERA552"/>
      <c r="ERB552"/>
      <c r="ERC552"/>
      <c r="ERD552"/>
      <c r="ERE552"/>
      <c r="ERF552"/>
      <c r="ERG552"/>
      <c r="ERH552"/>
      <c r="ERI552"/>
      <c r="ERJ552"/>
      <c r="ERK552"/>
      <c r="ERL552"/>
      <c r="ERM552"/>
      <c r="ERN552"/>
      <c r="ERO552"/>
      <c r="ERP552"/>
      <c r="ERQ552"/>
      <c r="ERR552"/>
      <c r="ERS552"/>
      <c r="ERT552"/>
      <c r="ERU552"/>
      <c r="ERV552"/>
      <c r="ERW552"/>
      <c r="ERX552"/>
      <c r="ERY552"/>
      <c r="ERZ552"/>
      <c r="ESA552"/>
      <c r="ESB552"/>
      <c r="ESC552"/>
      <c r="ESD552"/>
      <c r="ESE552"/>
      <c r="ESF552"/>
      <c r="ESG552"/>
      <c r="ESH552"/>
      <c r="ESI552"/>
      <c r="ESJ552"/>
      <c r="ESK552"/>
      <c r="ESL552"/>
      <c r="ESM552"/>
      <c r="ESN552"/>
      <c r="ESO552"/>
      <c r="ESP552"/>
      <c r="ESQ552"/>
      <c r="ESR552"/>
      <c r="ESS552"/>
      <c r="EST552"/>
      <c r="ESU552"/>
      <c r="ESV552"/>
      <c r="ESW552"/>
      <c r="ESX552"/>
      <c r="ESY552"/>
      <c r="ESZ552"/>
      <c r="ETA552"/>
      <c r="ETB552"/>
      <c r="ETC552"/>
      <c r="ETD552"/>
      <c r="ETE552"/>
      <c r="ETF552"/>
      <c r="ETG552"/>
      <c r="ETH552"/>
      <c r="ETI552"/>
      <c r="ETJ552"/>
      <c r="ETK552"/>
      <c r="ETL552"/>
      <c r="ETM552"/>
      <c r="ETN552"/>
      <c r="ETO552"/>
      <c r="ETP552"/>
      <c r="ETQ552"/>
      <c r="ETR552"/>
      <c r="ETS552"/>
      <c r="ETT552"/>
      <c r="ETU552"/>
      <c r="ETV552"/>
      <c r="ETW552"/>
      <c r="ETX552"/>
      <c r="ETY552"/>
      <c r="ETZ552"/>
      <c r="EUA552"/>
      <c r="EUB552"/>
      <c r="EUC552"/>
      <c r="EUD552"/>
      <c r="EUE552"/>
      <c r="EUF552"/>
      <c r="EUG552"/>
      <c r="EUH552"/>
      <c r="EUI552"/>
      <c r="EUJ552"/>
      <c r="EUK552"/>
      <c r="EUL552"/>
      <c r="EUM552"/>
      <c r="EUN552"/>
      <c r="EUO552"/>
      <c r="EUP552"/>
      <c r="EUQ552"/>
      <c r="EUR552"/>
      <c r="EUS552"/>
      <c r="EUT552"/>
      <c r="EUU552"/>
      <c r="EUV552"/>
      <c r="EUW552"/>
      <c r="EUX552"/>
      <c r="EUY552"/>
      <c r="EUZ552"/>
      <c r="EVA552"/>
      <c r="EVB552"/>
      <c r="EVC552"/>
      <c r="EVD552"/>
      <c r="EVE552"/>
      <c r="EVF552"/>
      <c r="EVG552"/>
      <c r="EVH552"/>
      <c r="EVI552"/>
      <c r="EVJ552"/>
      <c r="EVK552"/>
      <c r="EVL552"/>
      <c r="EVM552"/>
      <c r="EVN552"/>
      <c r="EVO552"/>
      <c r="EVP552"/>
      <c r="EVQ552"/>
      <c r="EVR552"/>
      <c r="EVS552"/>
      <c r="EVT552"/>
      <c r="EVU552"/>
      <c r="EVV552"/>
      <c r="EVW552"/>
      <c r="EVX552"/>
      <c r="EVY552"/>
      <c r="EVZ552"/>
      <c r="EWA552"/>
      <c r="EWB552"/>
      <c r="EWC552"/>
      <c r="EWD552"/>
      <c r="EWE552"/>
      <c r="EWF552"/>
      <c r="EWG552"/>
      <c r="EWH552"/>
      <c r="EWI552"/>
      <c r="EWJ552"/>
      <c r="EWK552"/>
      <c r="EWL552"/>
      <c r="EWM552"/>
      <c r="EWN552"/>
      <c r="EWO552"/>
      <c r="EWP552"/>
      <c r="EWQ552"/>
      <c r="EWR552"/>
      <c r="EWS552"/>
      <c r="EWT552"/>
      <c r="EWU552"/>
      <c r="EWV552"/>
      <c r="EWW552"/>
      <c r="EWX552"/>
      <c r="EWY552"/>
      <c r="EWZ552"/>
      <c r="EXA552"/>
      <c r="EXB552"/>
      <c r="EXC552"/>
      <c r="EXD552"/>
      <c r="EXE552"/>
      <c r="EXF552"/>
      <c r="EXG552"/>
      <c r="EXH552"/>
      <c r="EXI552"/>
      <c r="EXJ552"/>
      <c r="EXK552"/>
      <c r="EXL552"/>
      <c r="EXM552"/>
      <c r="EXN552"/>
      <c r="EXO552"/>
      <c r="EXP552"/>
      <c r="EXQ552"/>
      <c r="EXR552"/>
      <c r="EXS552"/>
      <c r="EXT552"/>
      <c r="EXU552"/>
      <c r="EXV552"/>
      <c r="EXW552"/>
      <c r="EXX552"/>
      <c r="EXY552"/>
      <c r="EXZ552"/>
      <c r="EYA552"/>
      <c r="EYB552"/>
      <c r="EYC552"/>
      <c r="EYD552"/>
      <c r="EYE552"/>
      <c r="EYF552"/>
      <c r="EYG552"/>
      <c r="EYH552"/>
      <c r="EYI552"/>
      <c r="EYJ552"/>
      <c r="EYK552"/>
      <c r="EYL552"/>
      <c r="EYM552"/>
      <c r="EYN552"/>
      <c r="EYO552"/>
      <c r="EYP552"/>
      <c r="EYQ552"/>
      <c r="EYR552"/>
      <c r="EYS552"/>
      <c r="EYT552"/>
      <c r="EYU552"/>
      <c r="EYV552"/>
      <c r="EYW552"/>
      <c r="EYX552"/>
      <c r="EYY552"/>
      <c r="EYZ552"/>
      <c r="EZA552"/>
      <c r="EZB552"/>
      <c r="EZC552"/>
      <c r="EZD552"/>
      <c r="EZE552"/>
      <c r="EZF552"/>
      <c r="EZG552"/>
      <c r="EZH552"/>
      <c r="EZI552"/>
      <c r="EZJ552"/>
      <c r="EZK552"/>
      <c r="EZL552"/>
      <c r="EZM552"/>
      <c r="EZN552"/>
      <c r="EZO552"/>
      <c r="EZP552"/>
      <c r="EZQ552"/>
      <c r="EZR552"/>
      <c r="EZS552"/>
      <c r="EZT552"/>
      <c r="EZU552"/>
      <c r="EZV552"/>
      <c r="EZW552"/>
      <c r="EZX552"/>
      <c r="EZY552"/>
      <c r="EZZ552"/>
      <c r="FAA552"/>
      <c r="FAB552"/>
      <c r="FAC552"/>
      <c r="FAD552"/>
      <c r="FAE552"/>
      <c r="FAF552"/>
      <c r="FAG552"/>
      <c r="FAH552"/>
      <c r="FAI552"/>
      <c r="FAJ552"/>
      <c r="FAK552"/>
      <c r="FAL552"/>
      <c r="FAM552"/>
      <c r="FAN552"/>
      <c r="FAO552"/>
      <c r="FAP552"/>
      <c r="FAQ552"/>
      <c r="FAR552"/>
      <c r="FAS552"/>
      <c r="FAT552"/>
      <c r="FAU552"/>
      <c r="FAV552"/>
      <c r="FAW552"/>
      <c r="FAX552"/>
      <c r="FAY552"/>
      <c r="FAZ552"/>
      <c r="FBA552"/>
      <c r="FBB552"/>
      <c r="FBC552"/>
      <c r="FBD552"/>
      <c r="FBE552"/>
      <c r="FBF552"/>
      <c r="FBG552"/>
      <c r="FBH552"/>
      <c r="FBI552"/>
      <c r="FBJ552"/>
      <c r="FBK552"/>
      <c r="FBL552"/>
      <c r="FBM552"/>
      <c r="FBN552"/>
      <c r="FBO552"/>
      <c r="FBP552"/>
      <c r="FBQ552"/>
      <c r="FBR552"/>
      <c r="FBS552"/>
      <c r="FBT552"/>
      <c r="FBU552"/>
      <c r="FBV552"/>
      <c r="FBW552"/>
      <c r="FBX552"/>
      <c r="FBY552"/>
      <c r="FBZ552"/>
      <c r="FCA552"/>
      <c r="FCB552"/>
      <c r="FCC552"/>
      <c r="FCD552"/>
      <c r="FCE552"/>
      <c r="FCF552"/>
      <c r="FCG552"/>
      <c r="FCH552"/>
      <c r="FCI552"/>
      <c r="FCJ552"/>
      <c r="FCK552"/>
      <c r="FCL552"/>
      <c r="FCM552"/>
      <c r="FCN552"/>
      <c r="FCO552"/>
      <c r="FCP552"/>
      <c r="FCQ552"/>
      <c r="FCR552"/>
      <c r="FCS552"/>
      <c r="FCT552"/>
      <c r="FCU552"/>
      <c r="FCV552"/>
      <c r="FCW552"/>
      <c r="FCX552"/>
      <c r="FCY552"/>
      <c r="FCZ552"/>
      <c r="FDA552"/>
      <c r="FDB552"/>
      <c r="FDC552"/>
      <c r="FDD552"/>
      <c r="FDE552"/>
      <c r="FDF552"/>
      <c r="FDG552"/>
      <c r="FDH552"/>
      <c r="FDI552"/>
      <c r="FDJ552"/>
      <c r="FDK552"/>
      <c r="FDL552"/>
      <c r="FDM552"/>
      <c r="FDN552"/>
      <c r="FDO552"/>
      <c r="FDP552"/>
      <c r="FDQ552"/>
      <c r="FDR552"/>
      <c r="FDS552"/>
      <c r="FDT552"/>
      <c r="FDU552"/>
      <c r="FDV552"/>
      <c r="FDW552"/>
      <c r="FDX552"/>
      <c r="FDY552"/>
      <c r="FDZ552"/>
      <c r="FEA552"/>
      <c r="FEB552"/>
      <c r="FEC552"/>
      <c r="FED552"/>
      <c r="FEE552"/>
      <c r="FEF552"/>
      <c r="FEG552"/>
      <c r="FEH552"/>
      <c r="FEI552"/>
      <c r="FEJ552"/>
      <c r="FEK552"/>
      <c r="FEL552"/>
      <c r="FEM552"/>
      <c r="FEN552"/>
      <c r="FEO552"/>
      <c r="FEP552"/>
      <c r="FEQ552"/>
      <c r="FER552"/>
      <c r="FES552"/>
      <c r="FET552"/>
      <c r="FEU552"/>
      <c r="FEV552"/>
      <c r="FEW552"/>
      <c r="FEX552"/>
      <c r="FEY552"/>
      <c r="FEZ552"/>
      <c r="FFA552"/>
      <c r="FFB552"/>
      <c r="FFC552"/>
      <c r="FFD552"/>
      <c r="FFE552"/>
      <c r="FFF552"/>
      <c r="FFG552"/>
      <c r="FFH552"/>
      <c r="FFI552"/>
      <c r="FFJ552"/>
      <c r="FFK552"/>
      <c r="FFL552"/>
      <c r="FFM552"/>
      <c r="FFN552"/>
      <c r="FFO552"/>
      <c r="FFP552"/>
      <c r="FFQ552"/>
      <c r="FFR552"/>
      <c r="FFS552"/>
      <c r="FFT552"/>
      <c r="FFU552"/>
      <c r="FFV552"/>
      <c r="FFW552"/>
      <c r="FFX552"/>
      <c r="FFY552"/>
      <c r="FFZ552"/>
      <c r="FGA552"/>
      <c r="FGB552"/>
      <c r="FGC552"/>
      <c r="FGD552"/>
      <c r="FGE552"/>
      <c r="FGF552"/>
      <c r="FGG552"/>
      <c r="FGH552"/>
      <c r="FGI552"/>
      <c r="FGJ552"/>
      <c r="FGK552"/>
      <c r="FGL552"/>
      <c r="FGM552"/>
      <c r="FGN552"/>
      <c r="FGO552"/>
      <c r="FGP552"/>
      <c r="FGQ552"/>
      <c r="FGR552"/>
      <c r="FGS552"/>
      <c r="FGT552"/>
      <c r="FGU552"/>
      <c r="FGV552"/>
      <c r="FGW552"/>
      <c r="FGX552"/>
      <c r="FGY552"/>
      <c r="FGZ552"/>
      <c r="FHA552"/>
      <c r="FHB552"/>
      <c r="FHC552"/>
      <c r="FHD552"/>
      <c r="FHE552"/>
      <c r="FHF552"/>
      <c r="FHG552"/>
      <c r="FHH552"/>
      <c r="FHI552"/>
      <c r="FHJ552"/>
      <c r="FHK552"/>
      <c r="FHL552"/>
      <c r="FHM552"/>
      <c r="FHN552"/>
      <c r="FHO552"/>
      <c r="FHP552"/>
      <c r="FHQ552"/>
      <c r="FHR552"/>
      <c r="FHS552"/>
      <c r="FHT552"/>
      <c r="FHU552"/>
      <c r="FHV552"/>
      <c r="FHW552"/>
      <c r="FHX552"/>
      <c r="FHY552"/>
      <c r="FHZ552"/>
      <c r="FIA552"/>
      <c r="FIB552"/>
      <c r="FIC552"/>
      <c r="FID552"/>
      <c r="FIE552"/>
      <c r="FIF552"/>
      <c r="FIG552"/>
      <c r="FIH552"/>
      <c r="FII552"/>
      <c r="FIJ552"/>
      <c r="FIK552"/>
      <c r="FIL552"/>
      <c r="FIM552"/>
      <c r="FIN552"/>
      <c r="FIO552"/>
      <c r="FIP552"/>
      <c r="FIQ552"/>
      <c r="FIR552"/>
      <c r="FIS552"/>
      <c r="FIT552"/>
      <c r="FIU552"/>
      <c r="FIV552"/>
      <c r="FIW552"/>
      <c r="FIX552"/>
      <c r="FIY552"/>
      <c r="FIZ552"/>
      <c r="FJA552"/>
      <c r="FJB552"/>
      <c r="FJC552"/>
      <c r="FJD552"/>
      <c r="FJE552"/>
      <c r="FJF552"/>
      <c r="FJG552"/>
      <c r="FJH552"/>
      <c r="FJI552"/>
      <c r="FJJ552"/>
      <c r="FJK552"/>
      <c r="FJL552"/>
      <c r="FJM552"/>
      <c r="FJN552"/>
      <c r="FJO552"/>
      <c r="FJP552"/>
      <c r="FJQ552"/>
      <c r="FJR552"/>
      <c r="FJS552"/>
      <c r="FJT552"/>
      <c r="FJU552"/>
      <c r="FJV552"/>
      <c r="FJW552"/>
      <c r="FJX552"/>
      <c r="FJY552"/>
      <c r="FJZ552"/>
      <c r="FKA552"/>
      <c r="FKB552"/>
      <c r="FKC552"/>
      <c r="FKD552"/>
      <c r="FKE552"/>
      <c r="FKF552"/>
      <c r="FKG552"/>
      <c r="FKH552"/>
      <c r="FKI552"/>
      <c r="FKJ552"/>
      <c r="FKK552"/>
      <c r="FKL552"/>
      <c r="FKM552"/>
      <c r="FKN552"/>
      <c r="FKO552"/>
      <c r="FKP552"/>
      <c r="FKQ552"/>
      <c r="FKR552"/>
      <c r="FKS552"/>
      <c r="FKT552"/>
      <c r="FKU552"/>
      <c r="FKV552"/>
      <c r="FKW552"/>
      <c r="FKX552"/>
      <c r="FKY552"/>
      <c r="FKZ552"/>
      <c r="FLA552"/>
      <c r="FLB552"/>
      <c r="FLC552"/>
      <c r="FLD552"/>
      <c r="FLE552"/>
      <c r="FLF552"/>
      <c r="FLG552"/>
      <c r="FLH552"/>
      <c r="FLI552"/>
      <c r="FLJ552"/>
      <c r="FLK552"/>
      <c r="FLL552"/>
      <c r="FLM552"/>
      <c r="FLN552"/>
      <c r="FLO552"/>
      <c r="FLP552"/>
      <c r="FLQ552"/>
      <c r="FLR552"/>
      <c r="FLS552"/>
      <c r="FLT552"/>
      <c r="FLU552"/>
      <c r="FLV552"/>
      <c r="FLW552"/>
      <c r="FLX552"/>
      <c r="FLY552"/>
      <c r="FLZ552"/>
      <c r="FMA552"/>
      <c r="FMB552"/>
      <c r="FMC552"/>
      <c r="FMD552"/>
      <c r="FME552"/>
      <c r="FMF552"/>
      <c r="FMG552"/>
      <c r="FMH552"/>
      <c r="FMI552"/>
      <c r="FMJ552"/>
      <c r="FMK552"/>
      <c r="FML552"/>
      <c r="FMM552"/>
      <c r="FMN552"/>
      <c r="FMO552"/>
      <c r="FMP552"/>
      <c r="FMQ552"/>
      <c r="FMR552"/>
      <c r="FMS552"/>
      <c r="FMT552"/>
      <c r="FMU552"/>
      <c r="FMV552"/>
      <c r="FMW552"/>
      <c r="FMX552"/>
      <c r="FMY552"/>
      <c r="FMZ552"/>
      <c r="FNA552"/>
      <c r="FNB552"/>
      <c r="FNC552"/>
      <c r="FND552"/>
      <c r="FNE552"/>
      <c r="FNF552"/>
      <c r="FNG552"/>
      <c r="FNH552"/>
      <c r="FNI552"/>
      <c r="FNJ552"/>
      <c r="FNK552"/>
      <c r="FNL552"/>
      <c r="FNM552"/>
      <c r="FNN552"/>
      <c r="FNO552"/>
      <c r="FNP552"/>
      <c r="FNQ552"/>
      <c r="FNR552"/>
      <c r="FNS552"/>
      <c r="FNT552"/>
      <c r="FNU552"/>
      <c r="FNV552"/>
      <c r="FNW552"/>
      <c r="FNX552"/>
      <c r="FNY552"/>
      <c r="FNZ552"/>
      <c r="FOA552"/>
      <c r="FOB552"/>
      <c r="FOC552"/>
      <c r="FOD552"/>
      <c r="FOE552"/>
      <c r="FOF552"/>
      <c r="FOG552"/>
      <c r="FOH552"/>
      <c r="FOI552"/>
      <c r="FOJ552"/>
      <c r="FOK552"/>
      <c r="FOL552"/>
      <c r="FOM552"/>
      <c r="FON552"/>
      <c r="FOO552"/>
      <c r="FOP552"/>
      <c r="FOQ552"/>
      <c r="FOR552"/>
      <c r="FOS552"/>
      <c r="FOT552"/>
      <c r="FOU552"/>
      <c r="FOV552"/>
      <c r="FOW552"/>
      <c r="FOX552"/>
      <c r="FOY552"/>
      <c r="FOZ552"/>
      <c r="FPA552"/>
      <c r="FPB552"/>
      <c r="FPC552"/>
      <c r="FPD552"/>
      <c r="FPE552"/>
      <c r="FPF552"/>
      <c r="FPG552"/>
      <c r="FPH552"/>
      <c r="FPI552"/>
      <c r="FPJ552"/>
      <c r="FPK552"/>
      <c r="FPL552"/>
      <c r="FPM552"/>
      <c r="FPN552"/>
      <c r="FPO552"/>
      <c r="FPP552"/>
      <c r="FPQ552"/>
      <c r="FPR552"/>
      <c r="FPS552"/>
      <c r="FPT552"/>
      <c r="FPU552"/>
      <c r="FPV552"/>
      <c r="FPW552"/>
      <c r="FPX552"/>
      <c r="FPY552"/>
      <c r="FPZ552"/>
      <c r="FQA552"/>
      <c r="FQB552"/>
      <c r="FQC552"/>
      <c r="FQD552"/>
      <c r="FQE552"/>
      <c r="FQF552"/>
      <c r="FQG552"/>
      <c r="FQH552"/>
      <c r="FQI552"/>
      <c r="FQJ552"/>
      <c r="FQK552"/>
      <c r="FQL552"/>
      <c r="FQM552"/>
      <c r="FQN552"/>
      <c r="FQO552"/>
      <c r="FQP552"/>
      <c r="FQQ552"/>
      <c r="FQR552"/>
      <c r="FQS552"/>
      <c r="FQT552"/>
      <c r="FQU552"/>
      <c r="FQV552"/>
      <c r="FQW552"/>
      <c r="FQX552"/>
      <c r="FQY552"/>
      <c r="FQZ552"/>
      <c r="FRA552"/>
      <c r="FRB552"/>
      <c r="FRC552"/>
      <c r="FRD552"/>
      <c r="FRE552"/>
      <c r="FRF552"/>
      <c r="FRG552"/>
      <c r="FRH552"/>
      <c r="FRI552"/>
      <c r="FRJ552"/>
      <c r="FRK552"/>
      <c r="FRL552"/>
      <c r="FRM552"/>
      <c r="FRN552"/>
      <c r="FRO552"/>
      <c r="FRP552"/>
      <c r="FRQ552"/>
      <c r="FRR552"/>
      <c r="FRS552"/>
      <c r="FRT552"/>
      <c r="FRU552"/>
      <c r="FRV552"/>
      <c r="FRW552"/>
      <c r="FRX552"/>
      <c r="FRY552"/>
      <c r="FRZ552"/>
      <c r="FSA552"/>
      <c r="FSB552"/>
      <c r="FSC552"/>
      <c r="FSD552"/>
      <c r="FSE552"/>
      <c r="FSF552"/>
      <c r="FSG552"/>
      <c r="FSH552"/>
      <c r="FSI552"/>
      <c r="FSJ552"/>
      <c r="FSK552"/>
      <c r="FSL552"/>
      <c r="FSM552"/>
      <c r="FSN552"/>
      <c r="FSO552"/>
      <c r="FSP552"/>
      <c r="FSQ552"/>
      <c r="FSR552"/>
      <c r="FSS552"/>
      <c r="FST552"/>
      <c r="FSU552"/>
      <c r="FSV552"/>
      <c r="FSW552"/>
      <c r="FSX552"/>
      <c r="FSY552"/>
      <c r="FSZ552"/>
      <c r="FTA552"/>
      <c r="FTB552"/>
      <c r="FTC552"/>
      <c r="FTD552"/>
      <c r="FTE552"/>
      <c r="FTF552"/>
      <c r="FTG552"/>
      <c r="FTH552"/>
      <c r="FTI552"/>
      <c r="FTJ552"/>
      <c r="FTK552"/>
      <c r="FTL552"/>
      <c r="FTM552"/>
      <c r="FTN552"/>
      <c r="FTO552"/>
      <c r="FTP552"/>
      <c r="FTQ552"/>
      <c r="FTR552"/>
      <c r="FTS552"/>
      <c r="FTT552"/>
      <c r="FTU552"/>
      <c r="FTV552"/>
      <c r="FTW552"/>
      <c r="FTX552"/>
      <c r="FTY552"/>
      <c r="FTZ552"/>
      <c r="FUA552"/>
      <c r="FUB552"/>
      <c r="FUC552"/>
      <c r="FUD552"/>
      <c r="FUE552"/>
      <c r="FUF552"/>
      <c r="FUG552"/>
      <c r="FUH552"/>
      <c r="FUI552"/>
      <c r="FUJ552"/>
      <c r="FUK552"/>
      <c r="FUL552"/>
      <c r="FUM552"/>
      <c r="FUN552"/>
      <c r="FUO552"/>
      <c r="FUP552"/>
      <c r="FUQ552"/>
      <c r="FUR552"/>
      <c r="FUS552"/>
      <c r="FUT552"/>
      <c r="FUU552"/>
      <c r="FUV552"/>
      <c r="FUW552"/>
      <c r="FUX552"/>
      <c r="FUY552"/>
      <c r="FUZ552"/>
      <c r="FVA552"/>
      <c r="FVB552"/>
      <c r="FVC552"/>
      <c r="FVD552"/>
      <c r="FVE552"/>
      <c r="FVF552"/>
      <c r="FVG552"/>
      <c r="FVH552"/>
      <c r="FVI552"/>
      <c r="FVJ552"/>
      <c r="FVK552"/>
      <c r="FVL552"/>
      <c r="FVM552"/>
      <c r="FVN552"/>
      <c r="FVO552"/>
      <c r="FVP552"/>
      <c r="FVQ552"/>
      <c r="FVR552"/>
      <c r="FVS552"/>
      <c r="FVT552"/>
      <c r="FVU552"/>
      <c r="FVV552"/>
      <c r="FVW552"/>
      <c r="FVX552"/>
      <c r="FVY552"/>
      <c r="FVZ552"/>
      <c r="FWA552"/>
      <c r="FWB552"/>
      <c r="FWC552"/>
      <c r="FWD552"/>
      <c r="FWE552"/>
      <c r="FWF552"/>
      <c r="FWG552"/>
      <c r="FWH552"/>
      <c r="FWI552"/>
      <c r="FWJ552"/>
      <c r="FWK552"/>
      <c r="FWL552"/>
      <c r="FWM552"/>
      <c r="FWN552"/>
      <c r="FWO552"/>
      <c r="FWP552"/>
      <c r="FWQ552"/>
      <c r="FWR552"/>
      <c r="FWS552"/>
      <c r="FWT552"/>
      <c r="FWU552"/>
      <c r="FWV552"/>
      <c r="FWW552"/>
      <c r="FWX552"/>
      <c r="FWY552"/>
      <c r="FWZ552"/>
      <c r="FXA552"/>
      <c r="FXB552"/>
      <c r="FXC552"/>
      <c r="FXD552"/>
      <c r="FXE552"/>
      <c r="FXF552"/>
      <c r="FXG552"/>
      <c r="FXH552"/>
      <c r="FXI552"/>
      <c r="FXJ552"/>
      <c r="FXK552"/>
      <c r="FXL552"/>
      <c r="FXM552"/>
      <c r="FXN552"/>
      <c r="FXO552"/>
      <c r="FXP552"/>
      <c r="FXQ552"/>
      <c r="FXR552"/>
      <c r="FXS552"/>
      <c r="FXT552"/>
      <c r="FXU552"/>
      <c r="FXV552"/>
      <c r="FXW552"/>
      <c r="FXX552"/>
      <c r="FXY552"/>
      <c r="FXZ552"/>
      <c r="FYA552"/>
      <c r="FYB552"/>
      <c r="FYC552"/>
      <c r="FYD552"/>
      <c r="FYE552"/>
      <c r="FYF552"/>
      <c r="FYG552"/>
      <c r="FYH552"/>
      <c r="FYI552"/>
      <c r="FYJ552"/>
      <c r="FYK552"/>
      <c r="FYL552"/>
      <c r="FYM552"/>
      <c r="FYN552"/>
      <c r="FYO552"/>
      <c r="FYP552"/>
      <c r="FYQ552"/>
      <c r="FYR552"/>
      <c r="FYS552"/>
      <c r="FYT552"/>
      <c r="FYU552"/>
      <c r="FYV552"/>
      <c r="FYW552"/>
      <c r="FYX552"/>
      <c r="FYY552"/>
      <c r="FYZ552"/>
      <c r="FZA552"/>
      <c r="FZB552"/>
      <c r="FZC552"/>
      <c r="FZD552"/>
      <c r="FZE552"/>
      <c r="FZF552"/>
      <c r="FZG552"/>
      <c r="FZH552"/>
      <c r="FZI552"/>
      <c r="FZJ552"/>
      <c r="FZK552"/>
      <c r="FZL552"/>
      <c r="FZM552"/>
      <c r="FZN552"/>
      <c r="FZO552"/>
      <c r="FZP552"/>
      <c r="FZQ552"/>
      <c r="FZR552"/>
      <c r="FZS552"/>
      <c r="FZT552"/>
      <c r="FZU552"/>
      <c r="FZV552"/>
      <c r="FZW552"/>
      <c r="FZX552"/>
      <c r="FZY552"/>
      <c r="FZZ552"/>
      <c r="GAA552"/>
      <c r="GAB552"/>
      <c r="GAC552"/>
      <c r="GAD552"/>
      <c r="GAE552"/>
      <c r="GAF552"/>
      <c r="GAG552"/>
      <c r="GAH552"/>
      <c r="GAI552"/>
      <c r="GAJ552"/>
      <c r="GAK552"/>
      <c r="GAL552"/>
      <c r="GAM552"/>
      <c r="GAN552"/>
      <c r="GAO552"/>
      <c r="GAP552"/>
      <c r="GAQ552"/>
      <c r="GAR552"/>
      <c r="GAS552"/>
      <c r="GAT552"/>
      <c r="GAU552"/>
      <c r="GAV552"/>
      <c r="GAW552"/>
      <c r="GAX552"/>
      <c r="GAY552"/>
      <c r="GAZ552"/>
      <c r="GBA552"/>
      <c r="GBB552"/>
      <c r="GBC552"/>
      <c r="GBD552"/>
      <c r="GBE552"/>
      <c r="GBF552"/>
      <c r="GBG552"/>
      <c r="GBH552"/>
      <c r="GBI552"/>
      <c r="GBJ552"/>
      <c r="GBK552"/>
      <c r="GBL552"/>
      <c r="GBM552"/>
      <c r="GBN552"/>
      <c r="GBO552"/>
      <c r="GBP552"/>
      <c r="GBQ552"/>
      <c r="GBR552"/>
      <c r="GBS552"/>
      <c r="GBT552"/>
      <c r="GBU552"/>
      <c r="GBV552"/>
      <c r="GBW552"/>
      <c r="GBX552"/>
      <c r="GBY552"/>
      <c r="GBZ552"/>
      <c r="GCA552"/>
      <c r="GCB552"/>
      <c r="GCC552"/>
      <c r="GCD552"/>
      <c r="GCE552"/>
      <c r="GCF552"/>
      <c r="GCG552"/>
      <c r="GCH552"/>
      <c r="GCI552"/>
      <c r="GCJ552"/>
      <c r="GCK552"/>
      <c r="GCL552"/>
      <c r="GCM552"/>
      <c r="GCN552"/>
      <c r="GCO552"/>
      <c r="GCP552"/>
      <c r="GCQ552"/>
      <c r="GCR552"/>
      <c r="GCS552"/>
      <c r="GCT552"/>
      <c r="GCU552"/>
      <c r="GCV552"/>
      <c r="GCW552"/>
      <c r="GCX552"/>
      <c r="GCY552"/>
      <c r="GCZ552"/>
      <c r="GDA552"/>
      <c r="GDB552"/>
      <c r="GDC552"/>
      <c r="GDD552"/>
      <c r="GDE552"/>
      <c r="GDF552"/>
      <c r="GDG552"/>
      <c r="GDH552"/>
      <c r="GDI552"/>
      <c r="GDJ552"/>
      <c r="GDK552"/>
      <c r="GDL552"/>
      <c r="GDM552"/>
      <c r="GDN552"/>
      <c r="GDO552"/>
      <c r="GDP552"/>
      <c r="GDQ552"/>
      <c r="GDR552"/>
      <c r="GDS552"/>
      <c r="GDT552"/>
      <c r="GDU552"/>
      <c r="GDV552"/>
      <c r="GDW552"/>
      <c r="GDX552"/>
      <c r="GDY552"/>
      <c r="GDZ552"/>
      <c r="GEA552"/>
      <c r="GEB552"/>
      <c r="GEC552"/>
      <c r="GED552"/>
      <c r="GEE552"/>
      <c r="GEF552"/>
      <c r="GEG552"/>
      <c r="GEH552"/>
      <c r="GEI552"/>
      <c r="GEJ552"/>
      <c r="GEK552"/>
      <c r="GEL552"/>
      <c r="GEM552"/>
      <c r="GEN552"/>
      <c r="GEO552"/>
      <c r="GEP552"/>
      <c r="GEQ552"/>
      <c r="GER552"/>
      <c r="GES552"/>
      <c r="GET552"/>
      <c r="GEU552"/>
      <c r="GEV552"/>
      <c r="GEW552"/>
      <c r="GEX552"/>
      <c r="GEY552"/>
      <c r="GEZ552"/>
      <c r="GFA552"/>
      <c r="GFB552"/>
      <c r="GFC552"/>
      <c r="GFD552"/>
      <c r="GFE552"/>
      <c r="GFF552"/>
      <c r="GFG552"/>
      <c r="GFH552"/>
      <c r="GFI552"/>
      <c r="GFJ552"/>
      <c r="GFK552"/>
      <c r="GFL552"/>
      <c r="GFM552"/>
      <c r="GFN552"/>
      <c r="GFO552"/>
      <c r="GFP552"/>
      <c r="GFQ552"/>
      <c r="GFR552"/>
      <c r="GFS552"/>
      <c r="GFT552"/>
      <c r="GFU552"/>
      <c r="GFV552"/>
      <c r="GFW552"/>
      <c r="GFX552"/>
      <c r="GFY552"/>
      <c r="GFZ552"/>
      <c r="GGA552"/>
      <c r="GGB552"/>
      <c r="GGC552"/>
      <c r="GGD552"/>
      <c r="GGE552"/>
      <c r="GGF552"/>
      <c r="GGG552"/>
      <c r="GGH552"/>
      <c r="GGI552"/>
      <c r="GGJ552"/>
      <c r="GGK552"/>
      <c r="GGL552"/>
      <c r="GGM552"/>
      <c r="GGN552"/>
      <c r="GGO552"/>
      <c r="GGP552"/>
      <c r="GGQ552"/>
      <c r="GGR552"/>
      <c r="GGS552"/>
      <c r="GGT552"/>
      <c r="GGU552"/>
      <c r="GGV552"/>
      <c r="GGW552"/>
      <c r="GGX552"/>
      <c r="GGY552"/>
      <c r="GGZ552"/>
      <c r="GHA552"/>
      <c r="GHB552"/>
      <c r="GHC552"/>
      <c r="GHD552"/>
      <c r="GHE552"/>
      <c r="GHF552"/>
      <c r="GHG552"/>
      <c r="GHH552"/>
      <c r="GHI552"/>
      <c r="GHJ552"/>
      <c r="GHK552"/>
      <c r="GHL552"/>
      <c r="GHM552"/>
      <c r="GHN552"/>
      <c r="GHO552"/>
      <c r="GHP552"/>
      <c r="GHQ552"/>
      <c r="GHR552"/>
      <c r="GHS552"/>
      <c r="GHT552"/>
      <c r="GHU552"/>
      <c r="GHV552"/>
      <c r="GHW552"/>
      <c r="GHX552"/>
      <c r="GHY552"/>
      <c r="GHZ552"/>
      <c r="GIA552"/>
      <c r="GIB552"/>
      <c r="GIC552"/>
      <c r="GID552"/>
      <c r="GIE552"/>
      <c r="GIF552"/>
      <c r="GIG552"/>
      <c r="GIH552"/>
      <c r="GII552"/>
      <c r="GIJ552"/>
      <c r="GIK552"/>
      <c r="GIL552"/>
      <c r="GIM552"/>
      <c r="GIN552"/>
      <c r="GIO552"/>
      <c r="GIP552"/>
      <c r="GIQ552"/>
      <c r="GIR552"/>
      <c r="GIS552"/>
      <c r="GIT552"/>
      <c r="GIU552"/>
      <c r="GIV552"/>
      <c r="GIW552"/>
      <c r="GIX552"/>
      <c r="GIY552"/>
      <c r="GIZ552"/>
      <c r="GJA552"/>
      <c r="GJB552"/>
      <c r="GJC552"/>
      <c r="GJD552"/>
      <c r="GJE552"/>
      <c r="GJF552"/>
      <c r="GJG552"/>
      <c r="GJH552"/>
      <c r="GJI552"/>
      <c r="GJJ552"/>
      <c r="GJK552"/>
      <c r="GJL552"/>
      <c r="GJM552"/>
      <c r="GJN552"/>
      <c r="GJO552"/>
      <c r="GJP552"/>
      <c r="GJQ552"/>
      <c r="GJR552"/>
      <c r="GJS552"/>
      <c r="GJT552"/>
      <c r="GJU552"/>
      <c r="GJV552"/>
      <c r="GJW552"/>
      <c r="GJX552"/>
      <c r="GJY552"/>
      <c r="GJZ552"/>
      <c r="GKA552"/>
      <c r="GKB552"/>
      <c r="GKC552"/>
      <c r="GKD552"/>
      <c r="GKE552"/>
      <c r="GKF552"/>
      <c r="GKG552"/>
      <c r="GKH552"/>
      <c r="GKI552"/>
      <c r="GKJ552"/>
      <c r="GKK552"/>
      <c r="GKL552"/>
      <c r="GKM552"/>
      <c r="GKN552"/>
      <c r="GKO552"/>
      <c r="GKP552"/>
      <c r="GKQ552"/>
      <c r="GKR552"/>
      <c r="GKS552"/>
      <c r="GKT552"/>
      <c r="GKU552"/>
      <c r="GKV552"/>
      <c r="GKW552"/>
      <c r="GKX552"/>
      <c r="GKY552"/>
      <c r="GKZ552"/>
      <c r="GLA552"/>
      <c r="GLB552"/>
      <c r="GLC552"/>
      <c r="GLD552"/>
      <c r="GLE552"/>
      <c r="GLF552"/>
      <c r="GLG552"/>
      <c r="GLH552"/>
      <c r="GLI552"/>
      <c r="GLJ552"/>
      <c r="GLK552"/>
      <c r="GLL552"/>
      <c r="GLM552"/>
      <c r="GLN552"/>
      <c r="GLO552"/>
      <c r="GLP552"/>
      <c r="GLQ552"/>
      <c r="GLR552"/>
      <c r="GLS552"/>
      <c r="GLT552"/>
      <c r="GLU552"/>
      <c r="GLV552"/>
      <c r="GLW552"/>
      <c r="GLX552"/>
      <c r="GLY552"/>
      <c r="GLZ552"/>
      <c r="GMA552"/>
      <c r="GMB552"/>
      <c r="GMC552"/>
      <c r="GMD552"/>
      <c r="GME552"/>
      <c r="GMF552"/>
      <c r="GMG552"/>
      <c r="GMH552"/>
      <c r="GMI552"/>
      <c r="GMJ552"/>
      <c r="GMK552"/>
      <c r="GML552"/>
      <c r="GMM552"/>
      <c r="GMN552"/>
      <c r="GMO552"/>
      <c r="GMP552"/>
      <c r="GMQ552"/>
      <c r="GMR552"/>
      <c r="GMS552"/>
      <c r="GMT552"/>
      <c r="GMU552"/>
      <c r="GMV552"/>
      <c r="GMW552"/>
      <c r="GMX552"/>
      <c r="GMY552"/>
      <c r="GMZ552"/>
      <c r="GNA552"/>
      <c r="GNB552"/>
      <c r="GNC552"/>
      <c r="GND552"/>
      <c r="GNE552"/>
      <c r="GNF552"/>
      <c r="GNG552"/>
      <c r="GNH552"/>
      <c r="GNI552"/>
      <c r="GNJ552"/>
      <c r="GNK552"/>
      <c r="GNL552"/>
      <c r="GNM552"/>
      <c r="GNN552"/>
      <c r="GNO552"/>
      <c r="GNP552"/>
      <c r="GNQ552"/>
      <c r="GNR552"/>
      <c r="GNS552"/>
      <c r="GNT552"/>
      <c r="GNU552"/>
      <c r="GNV552"/>
      <c r="GNW552"/>
      <c r="GNX552"/>
      <c r="GNY552"/>
      <c r="GNZ552"/>
      <c r="GOA552"/>
      <c r="GOB552"/>
      <c r="GOC552"/>
      <c r="GOD552"/>
      <c r="GOE552"/>
      <c r="GOF552"/>
      <c r="GOG552"/>
      <c r="GOH552"/>
      <c r="GOI552"/>
      <c r="GOJ552"/>
      <c r="GOK552"/>
      <c r="GOL552"/>
      <c r="GOM552"/>
      <c r="GON552"/>
      <c r="GOO552"/>
      <c r="GOP552"/>
      <c r="GOQ552"/>
      <c r="GOR552"/>
      <c r="GOS552"/>
      <c r="GOT552"/>
      <c r="GOU552"/>
      <c r="GOV552"/>
      <c r="GOW552"/>
      <c r="GOX552"/>
      <c r="GOY552"/>
      <c r="GOZ552"/>
      <c r="GPA552"/>
      <c r="GPB552"/>
      <c r="GPC552"/>
      <c r="GPD552"/>
      <c r="GPE552"/>
      <c r="GPF552"/>
      <c r="GPG552"/>
      <c r="GPH552"/>
      <c r="GPI552"/>
      <c r="GPJ552"/>
      <c r="GPK552"/>
      <c r="GPL552"/>
      <c r="GPM552"/>
      <c r="GPN552"/>
      <c r="GPO552"/>
      <c r="GPP552"/>
      <c r="GPQ552"/>
      <c r="GPR552"/>
      <c r="GPS552"/>
      <c r="GPT552"/>
      <c r="GPU552"/>
      <c r="GPV552"/>
      <c r="GPW552"/>
      <c r="GPX552"/>
      <c r="GPY552"/>
      <c r="GPZ552"/>
      <c r="GQA552"/>
      <c r="GQB552"/>
      <c r="GQC552"/>
      <c r="GQD552"/>
      <c r="GQE552"/>
      <c r="GQF552"/>
      <c r="GQG552"/>
      <c r="GQH552"/>
      <c r="GQI552"/>
      <c r="GQJ552"/>
      <c r="GQK552"/>
      <c r="GQL552"/>
      <c r="GQM552"/>
      <c r="GQN552"/>
      <c r="GQO552"/>
      <c r="GQP552"/>
      <c r="GQQ552"/>
      <c r="GQR552"/>
      <c r="GQS552"/>
      <c r="GQT552"/>
      <c r="GQU552"/>
      <c r="GQV552"/>
      <c r="GQW552"/>
      <c r="GQX552"/>
      <c r="GQY552"/>
      <c r="GQZ552"/>
      <c r="GRA552"/>
      <c r="GRB552"/>
      <c r="GRC552"/>
      <c r="GRD552"/>
      <c r="GRE552"/>
      <c r="GRF552"/>
      <c r="GRG552"/>
      <c r="GRH552"/>
      <c r="GRI552"/>
      <c r="GRJ552"/>
      <c r="GRK552"/>
      <c r="GRL552"/>
      <c r="GRM552"/>
      <c r="GRN552"/>
      <c r="GRO552"/>
      <c r="GRP552"/>
      <c r="GRQ552"/>
      <c r="GRR552"/>
      <c r="GRS552"/>
      <c r="GRT552"/>
      <c r="GRU552"/>
      <c r="GRV552"/>
      <c r="GRW552"/>
      <c r="GRX552"/>
      <c r="GRY552"/>
      <c r="GRZ552"/>
      <c r="GSA552"/>
      <c r="GSB552"/>
      <c r="GSC552"/>
      <c r="GSD552"/>
      <c r="GSE552"/>
      <c r="GSF552"/>
      <c r="GSG552"/>
      <c r="GSH552"/>
      <c r="GSI552"/>
      <c r="GSJ552"/>
      <c r="GSK552"/>
      <c r="GSL552"/>
      <c r="GSM552"/>
      <c r="GSN552"/>
      <c r="GSO552"/>
      <c r="GSP552"/>
      <c r="GSQ552"/>
      <c r="GSR552"/>
      <c r="GSS552"/>
      <c r="GST552"/>
      <c r="GSU552"/>
      <c r="GSV552"/>
      <c r="GSW552"/>
      <c r="GSX552"/>
      <c r="GSY552"/>
      <c r="GSZ552"/>
      <c r="GTA552"/>
      <c r="GTB552"/>
      <c r="GTC552"/>
      <c r="GTD552"/>
      <c r="GTE552"/>
      <c r="GTF552"/>
      <c r="GTG552"/>
      <c r="GTH552"/>
      <c r="GTI552"/>
      <c r="GTJ552"/>
      <c r="GTK552"/>
      <c r="GTL552"/>
      <c r="GTM552"/>
      <c r="GTN552"/>
      <c r="GTO552"/>
      <c r="GTP552"/>
      <c r="GTQ552"/>
      <c r="GTR552"/>
      <c r="GTS552"/>
      <c r="GTT552"/>
      <c r="GTU552"/>
      <c r="GTV552"/>
      <c r="GTW552"/>
      <c r="GTX552"/>
      <c r="GTY552"/>
      <c r="GTZ552"/>
      <c r="GUA552"/>
      <c r="GUB552"/>
      <c r="GUC552"/>
      <c r="GUD552"/>
      <c r="GUE552"/>
      <c r="GUF552"/>
      <c r="GUG552"/>
      <c r="GUH552"/>
      <c r="GUI552"/>
      <c r="GUJ552"/>
      <c r="GUK552"/>
      <c r="GUL552"/>
      <c r="GUM552"/>
      <c r="GUN552"/>
      <c r="GUO552"/>
      <c r="GUP552"/>
      <c r="GUQ552"/>
      <c r="GUR552"/>
      <c r="GUS552"/>
      <c r="GUT552"/>
      <c r="GUU552"/>
      <c r="GUV552"/>
      <c r="GUW552"/>
      <c r="GUX552"/>
      <c r="GUY552"/>
      <c r="GUZ552"/>
      <c r="GVA552"/>
      <c r="GVB552"/>
      <c r="GVC552"/>
      <c r="GVD552"/>
      <c r="GVE552"/>
      <c r="GVF552"/>
      <c r="GVG552"/>
      <c r="GVH552"/>
      <c r="GVI552"/>
      <c r="GVJ552"/>
      <c r="GVK552"/>
      <c r="GVL552"/>
      <c r="GVM552"/>
      <c r="GVN552"/>
      <c r="GVO552"/>
      <c r="GVP552"/>
      <c r="GVQ552"/>
      <c r="GVR552"/>
      <c r="GVS552"/>
      <c r="GVT552"/>
      <c r="GVU552"/>
      <c r="GVV552"/>
      <c r="GVW552"/>
      <c r="GVX552"/>
      <c r="GVY552"/>
      <c r="GVZ552"/>
      <c r="GWA552"/>
      <c r="GWB552"/>
      <c r="GWC552"/>
      <c r="GWD552"/>
      <c r="GWE552"/>
      <c r="GWF552"/>
      <c r="GWG552"/>
      <c r="GWH552"/>
      <c r="GWI552"/>
      <c r="GWJ552"/>
      <c r="GWK552"/>
      <c r="GWL552"/>
      <c r="GWM552"/>
      <c r="GWN552"/>
      <c r="GWO552"/>
      <c r="GWP552"/>
      <c r="GWQ552"/>
      <c r="GWR552"/>
      <c r="GWS552"/>
      <c r="GWT552"/>
      <c r="GWU552"/>
      <c r="GWV552"/>
      <c r="GWW552"/>
      <c r="GWX552"/>
      <c r="GWY552"/>
      <c r="GWZ552"/>
      <c r="GXA552"/>
      <c r="GXB552"/>
      <c r="GXC552"/>
      <c r="GXD552"/>
      <c r="GXE552"/>
      <c r="GXF552"/>
      <c r="GXG552"/>
      <c r="GXH552"/>
      <c r="GXI552"/>
      <c r="GXJ552"/>
      <c r="GXK552"/>
      <c r="GXL552"/>
      <c r="GXM552"/>
      <c r="GXN552"/>
      <c r="GXO552"/>
      <c r="GXP552"/>
      <c r="GXQ552"/>
      <c r="GXR552"/>
      <c r="GXS552"/>
      <c r="GXT552"/>
      <c r="GXU552"/>
      <c r="GXV552"/>
      <c r="GXW552"/>
      <c r="GXX552"/>
      <c r="GXY552"/>
      <c r="GXZ552"/>
      <c r="GYA552"/>
      <c r="GYB552"/>
      <c r="GYC552"/>
      <c r="GYD552"/>
      <c r="GYE552"/>
      <c r="GYF552"/>
      <c r="GYG552"/>
      <c r="GYH552"/>
      <c r="GYI552"/>
      <c r="GYJ552"/>
      <c r="GYK552"/>
      <c r="GYL552"/>
      <c r="GYM552"/>
      <c r="GYN552"/>
      <c r="GYO552"/>
      <c r="GYP552"/>
      <c r="GYQ552"/>
      <c r="GYR552"/>
      <c r="GYS552"/>
      <c r="GYT552"/>
      <c r="GYU552"/>
      <c r="GYV552"/>
      <c r="GYW552"/>
      <c r="GYX552"/>
      <c r="GYY552"/>
      <c r="GYZ552"/>
      <c r="GZA552"/>
      <c r="GZB552"/>
      <c r="GZC552"/>
      <c r="GZD552"/>
      <c r="GZE552"/>
      <c r="GZF552"/>
      <c r="GZG552"/>
      <c r="GZH552"/>
      <c r="GZI552"/>
      <c r="GZJ552"/>
      <c r="GZK552"/>
      <c r="GZL552"/>
      <c r="GZM552"/>
      <c r="GZN552"/>
      <c r="GZO552"/>
      <c r="GZP552"/>
      <c r="GZQ552"/>
      <c r="GZR552"/>
      <c r="GZS552"/>
      <c r="GZT552"/>
      <c r="GZU552"/>
      <c r="GZV552"/>
      <c r="GZW552"/>
      <c r="GZX552"/>
      <c r="GZY552"/>
      <c r="GZZ552"/>
      <c r="HAA552"/>
      <c r="HAB552"/>
      <c r="HAC552"/>
      <c r="HAD552"/>
      <c r="HAE552"/>
      <c r="HAF552"/>
      <c r="HAG552"/>
      <c r="HAH552"/>
      <c r="HAI552"/>
      <c r="HAJ552"/>
      <c r="HAK552"/>
      <c r="HAL552"/>
      <c r="HAM552"/>
      <c r="HAN552"/>
      <c r="HAO552"/>
      <c r="HAP552"/>
      <c r="HAQ552"/>
      <c r="HAR552"/>
      <c r="HAS552"/>
      <c r="HAT552"/>
      <c r="HAU552"/>
      <c r="HAV552"/>
      <c r="HAW552"/>
      <c r="HAX552"/>
      <c r="HAY552"/>
      <c r="HAZ552"/>
      <c r="HBA552"/>
      <c r="HBB552"/>
      <c r="HBC552"/>
      <c r="HBD552"/>
      <c r="HBE552"/>
      <c r="HBF552"/>
      <c r="HBG552"/>
      <c r="HBH552"/>
      <c r="HBI552"/>
      <c r="HBJ552"/>
      <c r="HBK552"/>
      <c r="HBL552"/>
      <c r="HBM552"/>
      <c r="HBN552"/>
      <c r="HBO552"/>
      <c r="HBP552"/>
      <c r="HBQ552"/>
      <c r="HBR552"/>
      <c r="HBS552"/>
      <c r="HBT552"/>
      <c r="HBU552"/>
      <c r="HBV552"/>
      <c r="HBW552"/>
      <c r="HBX552"/>
      <c r="HBY552"/>
      <c r="HBZ552"/>
      <c r="HCA552"/>
      <c r="HCB552"/>
      <c r="HCC552"/>
      <c r="HCD552"/>
      <c r="HCE552"/>
      <c r="HCF552"/>
      <c r="HCG552"/>
      <c r="HCH552"/>
      <c r="HCI552"/>
      <c r="HCJ552"/>
      <c r="HCK552"/>
      <c r="HCL552"/>
      <c r="HCM552"/>
      <c r="HCN552"/>
      <c r="HCO552"/>
      <c r="HCP552"/>
      <c r="HCQ552"/>
      <c r="HCR552"/>
      <c r="HCS552"/>
      <c r="HCT552"/>
      <c r="HCU552"/>
      <c r="HCV552"/>
      <c r="HCW552"/>
      <c r="HCX552"/>
      <c r="HCY552"/>
      <c r="HCZ552"/>
      <c r="HDA552"/>
      <c r="HDB552"/>
      <c r="HDC552"/>
      <c r="HDD552"/>
      <c r="HDE552"/>
      <c r="HDF552"/>
      <c r="HDG552"/>
      <c r="HDH552"/>
      <c r="HDI552"/>
      <c r="HDJ552"/>
      <c r="HDK552"/>
      <c r="HDL552"/>
      <c r="HDM552"/>
      <c r="HDN552"/>
      <c r="HDO552"/>
      <c r="HDP552"/>
      <c r="HDQ552"/>
      <c r="HDR552"/>
      <c r="HDS552"/>
      <c r="HDT552"/>
      <c r="HDU552"/>
      <c r="HDV552"/>
      <c r="HDW552"/>
      <c r="HDX552"/>
      <c r="HDY552"/>
      <c r="HDZ552"/>
      <c r="HEA552"/>
      <c r="HEB552"/>
      <c r="HEC552"/>
      <c r="HED552"/>
      <c r="HEE552"/>
      <c r="HEF552"/>
      <c r="HEG552"/>
      <c r="HEH552"/>
      <c r="HEI552"/>
      <c r="HEJ552"/>
      <c r="HEK552"/>
      <c r="HEL552"/>
      <c r="HEM552"/>
      <c r="HEN552"/>
      <c r="HEO552"/>
      <c r="HEP552"/>
      <c r="HEQ552"/>
      <c r="HER552"/>
      <c r="HES552"/>
      <c r="HET552"/>
      <c r="HEU552"/>
      <c r="HEV552"/>
      <c r="HEW552"/>
      <c r="HEX552"/>
      <c r="HEY552"/>
      <c r="HEZ552"/>
      <c r="HFA552"/>
      <c r="HFB552"/>
      <c r="HFC552"/>
      <c r="HFD552"/>
      <c r="HFE552"/>
      <c r="HFF552"/>
      <c r="HFG552"/>
      <c r="HFH552"/>
      <c r="HFI552"/>
      <c r="HFJ552"/>
      <c r="HFK552"/>
      <c r="HFL552"/>
      <c r="HFM552"/>
      <c r="HFN552"/>
      <c r="HFO552"/>
      <c r="HFP552"/>
      <c r="HFQ552"/>
      <c r="HFR552"/>
      <c r="HFS552"/>
      <c r="HFT552"/>
      <c r="HFU552"/>
      <c r="HFV552"/>
      <c r="HFW552"/>
      <c r="HFX552"/>
      <c r="HFY552"/>
      <c r="HFZ552"/>
      <c r="HGA552"/>
      <c r="HGB552"/>
      <c r="HGC552"/>
      <c r="HGD552"/>
      <c r="HGE552"/>
      <c r="HGF552"/>
      <c r="HGG552"/>
      <c r="HGH552"/>
      <c r="HGI552"/>
      <c r="HGJ552"/>
      <c r="HGK552"/>
      <c r="HGL552"/>
      <c r="HGM552"/>
      <c r="HGN552"/>
      <c r="HGO552"/>
      <c r="HGP552"/>
      <c r="HGQ552"/>
      <c r="HGR552"/>
      <c r="HGS552"/>
      <c r="HGT552"/>
      <c r="HGU552"/>
      <c r="HGV552"/>
      <c r="HGW552"/>
      <c r="HGX552"/>
      <c r="HGY552"/>
      <c r="HGZ552"/>
      <c r="HHA552"/>
      <c r="HHB552"/>
      <c r="HHC552"/>
      <c r="HHD552"/>
      <c r="HHE552"/>
      <c r="HHF552"/>
      <c r="HHG552"/>
      <c r="HHH552"/>
      <c r="HHI552"/>
      <c r="HHJ552"/>
      <c r="HHK552"/>
      <c r="HHL552"/>
      <c r="HHM552"/>
      <c r="HHN552"/>
      <c r="HHO552"/>
      <c r="HHP552"/>
      <c r="HHQ552"/>
      <c r="HHR552"/>
      <c r="HHS552"/>
      <c r="HHT552"/>
      <c r="HHU552"/>
      <c r="HHV552"/>
      <c r="HHW552"/>
      <c r="HHX552"/>
      <c r="HHY552"/>
      <c r="HHZ552"/>
      <c r="HIA552"/>
      <c r="HIB552"/>
      <c r="HIC552"/>
      <c r="HID552"/>
      <c r="HIE552"/>
      <c r="HIF552"/>
      <c r="HIG552"/>
      <c r="HIH552"/>
      <c r="HII552"/>
      <c r="HIJ552"/>
      <c r="HIK552"/>
      <c r="HIL552"/>
      <c r="HIM552"/>
      <c r="HIN552"/>
      <c r="HIO552"/>
      <c r="HIP552"/>
      <c r="HIQ552"/>
      <c r="HIR552"/>
      <c r="HIS552"/>
      <c r="HIT552"/>
      <c r="HIU552"/>
      <c r="HIV552"/>
      <c r="HIW552"/>
      <c r="HIX552"/>
      <c r="HIY552"/>
      <c r="HIZ552"/>
      <c r="HJA552"/>
      <c r="HJB552"/>
      <c r="HJC552"/>
      <c r="HJD552"/>
      <c r="HJE552"/>
      <c r="HJF552"/>
      <c r="HJG552"/>
      <c r="HJH552"/>
      <c r="HJI552"/>
      <c r="HJJ552"/>
      <c r="HJK552"/>
      <c r="HJL552"/>
      <c r="HJM552"/>
      <c r="HJN552"/>
      <c r="HJO552"/>
      <c r="HJP552"/>
      <c r="HJQ552"/>
      <c r="HJR552"/>
      <c r="HJS552"/>
      <c r="HJT552"/>
      <c r="HJU552"/>
      <c r="HJV552"/>
      <c r="HJW552"/>
      <c r="HJX552"/>
      <c r="HJY552"/>
      <c r="HJZ552"/>
      <c r="HKA552"/>
      <c r="HKB552"/>
      <c r="HKC552"/>
      <c r="HKD552"/>
      <c r="HKE552"/>
      <c r="HKF552"/>
      <c r="HKG552"/>
      <c r="HKH552"/>
      <c r="HKI552"/>
      <c r="HKJ552"/>
      <c r="HKK552"/>
      <c r="HKL552"/>
      <c r="HKM552"/>
      <c r="HKN552"/>
      <c r="HKO552"/>
      <c r="HKP552"/>
      <c r="HKQ552"/>
      <c r="HKR552"/>
      <c r="HKS552"/>
      <c r="HKT552"/>
      <c r="HKU552"/>
      <c r="HKV552"/>
      <c r="HKW552"/>
      <c r="HKX552"/>
      <c r="HKY552"/>
      <c r="HKZ552"/>
      <c r="HLA552"/>
      <c r="HLB552"/>
      <c r="HLC552"/>
      <c r="HLD552"/>
      <c r="HLE552"/>
      <c r="HLF552"/>
      <c r="HLG552"/>
      <c r="HLH552"/>
      <c r="HLI552"/>
      <c r="HLJ552"/>
      <c r="HLK552"/>
      <c r="HLL552"/>
      <c r="HLM552"/>
      <c r="HLN552"/>
      <c r="HLO552"/>
      <c r="HLP552"/>
      <c r="HLQ552"/>
      <c r="HLR552"/>
      <c r="HLS552"/>
      <c r="HLT552"/>
      <c r="HLU552"/>
      <c r="HLV552"/>
      <c r="HLW552"/>
      <c r="HLX552"/>
      <c r="HLY552"/>
      <c r="HLZ552"/>
      <c r="HMA552"/>
      <c r="HMB552"/>
      <c r="HMC552"/>
      <c r="HMD552"/>
      <c r="HME552"/>
      <c r="HMF552"/>
      <c r="HMG552"/>
      <c r="HMH552"/>
      <c r="HMI552"/>
      <c r="HMJ552"/>
      <c r="HMK552"/>
      <c r="HML552"/>
      <c r="HMM552"/>
      <c r="HMN552"/>
      <c r="HMO552"/>
      <c r="HMP552"/>
      <c r="HMQ552"/>
      <c r="HMR552"/>
      <c r="HMS552"/>
      <c r="HMT552"/>
      <c r="HMU552"/>
      <c r="HMV552"/>
      <c r="HMW552"/>
      <c r="HMX552"/>
      <c r="HMY552"/>
      <c r="HMZ552"/>
      <c r="HNA552"/>
      <c r="HNB552"/>
      <c r="HNC552"/>
      <c r="HND552"/>
      <c r="HNE552"/>
      <c r="HNF552"/>
      <c r="HNG552"/>
      <c r="HNH552"/>
      <c r="HNI552"/>
      <c r="HNJ552"/>
      <c r="HNK552"/>
      <c r="HNL552"/>
      <c r="HNM552"/>
      <c r="HNN552"/>
      <c r="HNO552"/>
      <c r="HNP552"/>
      <c r="HNQ552"/>
      <c r="HNR552"/>
      <c r="HNS552"/>
      <c r="HNT552"/>
      <c r="HNU552"/>
      <c r="HNV552"/>
      <c r="HNW552"/>
      <c r="HNX552"/>
      <c r="HNY552"/>
      <c r="HNZ552"/>
      <c r="HOA552"/>
      <c r="HOB552"/>
      <c r="HOC552"/>
      <c r="HOD552"/>
      <c r="HOE552"/>
      <c r="HOF552"/>
      <c r="HOG552"/>
      <c r="HOH552"/>
      <c r="HOI552"/>
      <c r="HOJ552"/>
      <c r="HOK552"/>
      <c r="HOL552"/>
      <c r="HOM552"/>
      <c r="HON552"/>
      <c r="HOO552"/>
      <c r="HOP552"/>
      <c r="HOQ552"/>
      <c r="HOR552"/>
      <c r="HOS552"/>
      <c r="HOT552"/>
      <c r="HOU552"/>
      <c r="HOV552"/>
      <c r="HOW552"/>
      <c r="HOX552"/>
      <c r="HOY552"/>
      <c r="HOZ552"/>
      <c r="HPA552"/>
      <c r="HPB552"/>
      <c r="HPC552"/>
      <c r="HPD552"/>
      <c r="HPE552"/>
      <c r="HPF552"/>
      <c r="HPG552"/>
      <c r="HPH552"/>
      <c r="HPI552"/>
      <c r="HPJ552"/>
      <c r="HPK552"/>
      <c r="HPL552"/>
      <c r="HPM552"/>
      <c r="HPN552"/>
      <c r="HPO552"/>
      <c r="HPP552"/>
      <c r="HPQ552"/>
      <c r="HPR552"/>
      <c r="HPS552"/>
      <c r="HPT552"/>
      <c r="HPU552"/>
      <c r="HPV552"/>
      <c r="HPW552"/>
      <c r="HPX552"/>
      <c r="HPY552"/>
      <c r="HPZ552"/>
      <c r="HQA552"/>
      <c r="HQB552"/>
      <c r="HQC552"/>
      <c r="HQD552"/>
      <c r="HQE552"/>
      <c r="HQF552"/>
      <c r="HQG552"/>
      <c r="HQH552"/>
      <c r="HQI552"/>
      <c r="HQJ552"/>
      <c r="HQK552"/>
      <c r="HQL552"/>
      <c r="HQM552"/>
      <c r="HQN552"/>
      <c r="HQO552"/>
      <c r="HQP552"/>
      <c r="HQQ552"/>
      <c r="HQR552"/>
      <c r="HQS552"/>
      <c r="HQT552"/>
      <c r="HQU552"/>
      <c r="HQV552"/>
      <c r="HQW552"/>
      <c r="HQX552"/>
      <c r="HQY552"/>
      <c r="HQZ552"/>
      <c r="HRA552"/>
      <c r="HRB552"/>
      <c r="HRC552"/>
      <c r="HRD552"/>
      <c r="HRE552"/>
      <c r="HRF552"/>
      <c r="HRG552"/>
      <c r="HRH552"/>
      <c r="HRI552"/>
      <c r="HRJ552"/>
      <c r="HRK552"/>
      <c r="HRL552"/>
      <c r="HRM552"/>
      <c r="HRN552"/>
      <c r="HRO552"/>
      <c r="HRP552"/>
      <c r="HRQ552"/>
      <c r="HRR552"/>
      <c r="HRS552"/>
      <c r="HRT552"/>
      <c r="HRU552"/>
      <c r="HRV552"/>
      <c r="HRW552"/>
      <c r="HRX552"/>
      <c r="HRY552"/>
      <c r="HRZ552"/>
      <c r="HSA552"/>
      <c r="HSB552"/>
      <c r="HSC552"/>
      <c r="HSD552"/>
      <c r="HSE552"/>
      <c r="HSF552"/>
      <c r="HSG552"/>
      <c r="HSH552"/>
      <c r="HSI552"/>
      <c r="HSJ552"/>
      <c r="HSK552"/>
      <c r="HSL552"/>
      <c r="HSM552"/>
      <c r="HSN552"/>
      <c r="HSO552"/>
      <c r="HSP552"/>
      <c r="HSQ552"/>
      <c r="HSR552"/>
      <c r="HSS552"/>
      <c r="HST552"/>
      <c r="HSU552"/>
      <c r="HSV552"/>
      <c r="HSW552"/>
      <c r="HSX552"/>
      <c r="HSY552"/>
      <c r="HSZ552"/>
      <c r="HTA552"/>
      <c r="HTB552"/>
      <c r="HTC552"/>
      <c r="HTD552"/>
      <c r="HTE552"/>
      <c r="HTF552"/>
      <c r="HTG552"/>
      <c r="HTH552"/>
      <c r="HTI552"/>
      <c r="HTJ552"/>
      <c r="HTK552"/>
      <c r="HTL552"/>
      <c r="HTM552"/>
      <c r="HTN552"/>
      <c r="HTO552"/>
      <c r="HTP552"/>
      <c r="HTQ552"/>
      <c r="HTR552"/>
      <c r="HTS552"/>
      <c r="HTT552"/>
      <c r="HTU552"/>
      <c r="HTV552"/>
      <c r="HTW552"/>
      <c r="HTX552"/>
      <c r="HTY552"/>
      <c r="HTZ552"/>
      <c r="HUA552"/>
      <c r="HUB552"/>
      <c r="HUC552"/>
      <c r="HUD552"/>
      <c r="HUE552"/>
      <c r="HUF552"/>
      <c r="HUG552"/>
      <c r="HUH552"/>
      <c r="HUI552"/>
      <c r="HUJ552"/>
      <c r="HUK552"/>
      <c r="HUL552"/>
      <c r="HUM552"/>
      <c r="HUN552"/>
      <c r="HUO552"/>
      <c r="HUP552"/>
      <c r="HUQ552"/>
      <c r="HUR552"/>
      <c r="HUS552"/>
      <c r="HUT552"/>
      <c r="HUU552"/>
      <c r="HUV552"/>
      <c r="HUW552"/>
      <c r="HUX552"/>
      <c r="HUY552"/>
      <c r="HUZ552"/>
      <c r="HVA552"/>
      <c r="HVB552"/>
      <c r="HVC552"/>
      <c r="HVD552"/>
      <c r="HVE552"/>
      <c r="HVF552"/>
      <c r="HVG552"/>
      <c r="HVH552"/>
      <c r="HVI552"/>
      <c r="HVJ552"/>
      <c r="HVK552"/>
      <c r="HVL552"/>
      <c r="HVM552"/>
      <c r="HVN552"/>
      <c r="HVO552"/>
      <c r="HVP552"/>
      <c r="HVQ552"/>
      <c r="HVR552"/>
      <c r="HVS552"/>
      <c r="HVT552"/>
      <c r="HVU552"/>
      <c r="HVV552"/>
      <c r="HVW552"/>
      <c r="HVX552"/>
      <c r="HVY552"/>
      <c r="HVZ552"/>
      <c r="HWA552"/>
      <c r="HWB552"/>
      <c r="HWC552"/>
      <c r="HWD552"/>
      <c r="HWE552"/>
      <c r="HWF552"/>
      <c r="HWG552"/>
      <c r="HWH552"/>
      <c r="HWI552"/>
      <c r="HWJ552"/>
      <c r="HWK552"/>
      <c r="HWL552"/>
      <c r="HWM552"/>
      <c r="HWN552"/>
      <c r="HWO552"/>
      <c r="HWP552"/>
      <c r="HWQ552"/>
      <c r="HWR552"/>
      <c r="HWS552"/>
      <c r="HWT552"/>
      <c r="HWU552"/>
      <c r="HWV552"/>
      <c r="HWW552"/>
      <c r="HWX552"/>
      <c r="HWY552"/>
      <c r="HWZ552"/>
      <c r="HXA552"/>
      <c r="HXB552"/>
      <c r="HXC552"/>
      <c r="HXD552"/>
      <c r="HXE552"/>
      <c r="HXF552"/>
      <c r="HXG552"/>
      <c r="HXH552"/>
      <c r="HXI552"/>
      <c r="HXJ552"/>
      <c r="HXK552"/>
      <c r="HXL552"/>
      <c r="HXM552"/>
      <c r="HXN552"/>
      <c r="HXO552"/>
      <c r="HXP552"/>
      <c r="HXQ552"/>
      <c r="HXR552"/>
      <c r="HXS552"/>
      <c r="HXT552"/>
      <c r="HXU552"/>
      <c r="HXV552"/>
      <c r="HXW552"/>
      <c r="HXX552"/>
      <c r="HXY552"/>
      <c r="HXZ552"/>
      <c r="HYA552"/>
      <c r="HYB552"/>
      <c r="HYC552"/>
      <c r="HYD552"/>
      <c r="HYE552"/>
      <c r="HYF552"/>
      <c r="HYG552"/>
      <c r="HYH552"/>
      <c r="HYI552"/>
      <c r="HYJ552"/>
      <c r="HYK552"/>
      <c r="HYL552"/>
      <c r="HYM552"/>
      <c r="HYN552"/>
      <c r="HYO552"/>
      <c r="HYP552"/>
      <c r="HYQ552"/>
      <c r="HYR552"/>
      <c r="HYS552"/>
      <c r="HYT552"/>
      <c r="HYU552"/>
      <c r="HYV552"/>
      <c r="HYW552"/>
      <c r="HYX552"/>
      <c r="HYY552"/>
      <c r="HYZ552"/>
      <c r="HZA552"/>
      <c r="HZB552"/>
      <c r="HZC552"/>
      <c r="HZD552"/>
      <c r="HZE552"/>
      <c r="HZF552"/>
      <c r="HZG552"/>
      <c r="HZH552"/>
      <c r="HZI552"/>
      <c r="HZJ552"/>
      <c r="HZK552"/>
      <c r="HZL552"/>
      <c r="HZM552"/>
      <c r="HZN552"/>
      <c r="HZO552"/>
      <c r="HZP552"/>
      <c r="HZQ552"/>
      <c r="HZR552"/>
      <c r="HZS552"/>
      <c r="HZT552"/>
      <c r="HZU552"/>
      <c r="HZV552"/>
      <c r="HZW552"/>
      <c r="HZX552"/>
      <c r="HZY552"/>
      <c r="HZZ552"/>
      <c r="IAA552"/>
      <c r="IAB552"/>
      <c r="IAC552"/>
      <c r="IAD552"/>
      <c r="IAE552"/>
      <c r="IAF552"/>
      <c r="IAG552"/>
      <c r="IAH552"/>
      <c r="IAI552"/>
      <c r="IAJ552"/>
      <c r="IAK552"/>
      <c r="IAL552"/>
      <c r="IAM552"/>
      <c r="IAN552"/>
      <c r="IAO552"/>
      <c r="IAP552"/>
      <c r="IAQ552"/>
      <c r="IAR552"/>
      <c r="IAS552"/>
      <c r="IAT552"/>
      <c r="IAU552"/>
      <c r="IAV552"/>
      <c r="IAW552"/>
      <c r="IAX552"/>
      <c r="IAY552"/>
      <c r="IAZ552"/>
      <c r="IBA552"/>
      <c r="IBB552"/>
      <c r="IBC552"/>
      <c r="IBD552"/>
      <c r="IBE552"/>
      <c r="IBF552"/>
      <c r="IBG552"/>
      <c r="IBH552"/>
      <c r="IBI552"/>
      <c r="IBJ552"/>
      <c r="IBK552"/>
      <c r="IBL552"/>
      <c r="IBM552"/>
      <c r="IBN552"/>
      <c r="IBO552"/>
      <c r="IBP552"/>
      <c r="IBQ552"/>
      <c r="IBR552"/>
      <c r="IBS552"/>
      <c r="IBT552"/>
      <c r="IBU552"/>
      <c r="IBV552"/>
      <c r="IBW552"/>
      <c r="IBX552"/>
      <c r="IBY552"/>
      <c r="IBZ552"/>
      <c r="ICA552"/>
      <c r="ICB552"/>
      <c r="ICC552"/>
      <c r="ICD552"/>
      <c r="ICE552"/>
      <c r="ICF552"/>
      <c r="ICG552"/>
      <c r="ICH552"/>
      <c r="ICI552"/>
      <c r="ICJ552"/>
      <c r="ICK552"/>
      <c r="ICL552"/>
      <c r="ICM552"/>
      <c r="ICN552"/>
      <c r="ICO552"/>
      <c r="ICP552"/>
      <c r="ICQ552"/>
      <c r="ICR552"/>
      <c r="ICS552"/>
      <c r="ICT552"/>
      <c r="ICU552"/>
      <c r="ICV552"/>
      <c r="ICW552"/>
      <c r="ICX552"/>
      <c r="ICY552"/>
      <c r="ICZ552"/>
      <c r="IDA552"/>
      <c r="IDB552"/>
      <c r="IDC552"/>
      <c r="IDD552"/>
      <c r="IDE552"/>
      <c r="IDF552"/>
      <c r="IDG552"/>
      <c r="IDH552"/>
      <c r="IDI552"/>
      <c r="IDJ552"/>
      <c r="IDK552"/>
      <c r="IDL552"/>
      <c r="IDM552"/>
      <c r="IDN552"/>
      <c r="IDO552"/>
      <c r="IDP552"/>
      <c r="IDQ552"/>
      <c r="IDR552"/>
      <c r="IDS552"/>
      <c r="IDT552"/>
      <c r="IDU552"/>
      <c r="IDV552"/>
      <c r="IDW552"/>
      <c r="IDX552"/>
      <c r="IDY552"/>
      <c r="IDZ552"/>
      <c r="IEA552"/>
      <c r="IEB552"/>
      <c r="IEC552"/>
      <c r="IED552"/>
      <c r="IEE552"/>
      <c r="IEF552"/>
      <c r="IEG552"/>
      <c r="IEH552"/>
      <c r="IEI552"/>
      <c r="IEJ552"/>
      <c r="IEK552"/>
      <c r="IEL552"/>
      <c r="IEM552"/>
      <c r="IEN552"/>
      <c r="IEO552"/>
      <c r="IEP552"/>
      <c r="IEQ552"/>
      <c r="IER552"/>
      <c r="IES552"/>
      <c r="IET552"/>
      <c r="IEU552"/>
      <c r="IEV552"/>
      <c r="IEW552"/>
      <c r="IEX552"/>
      <c r="IEY552"/>
      <c r="IEZ552"/>
      <c r="IFA552"/>
      <c r="IFB552"/>
      <c r="IFC552"/>
      <c r="IFD552"/>
      <c r="IFE552"/>
      <c r="IFF552"/>
      <c r="IFG552"/>
      <c r="IFH552"/>
      <c r="IFI552"/>
      <c r="IFJ552"/>
      <c r="IFK552"/>
      <c r="IFL552"/>
      <c r="IFM552"/>
      <c r="IFN552"/>
      <c r="IFO552"/>
      <c r="IFP552"/>
      <c r="IFQ552"/>
      <c r="IFR552"/>
      <c r="IFS552"/>
      <c r="IFT552"/>
      <c r="IFU552"/>
      <c r="IFV552"/>
      <c r="IFW552"/>
      <c r="IFX552"/>
      <c r="IFY552"/>
      <c r="IFZ552"/>
      <c r="IGA552"/>
      <c r="IGB552"/>
      <c r="IGC552"/>
      <c r="IGD552"/>
      <c r="IGE552"/>
      <c r="IGF552"/>
      <c r="IGG552"/>
      <c r="IGH552"/>
      <c r="IGI552"/>
      <c r="IGJ552"/>
      <c r="IGK552"/>
      <c r="IGL552"/>
      <c r="IGM552"/>
      <c r="IGN552"/>
      <c r="IGO552"/>
      <c r="IGP552"/>
      <c r="IGQ552"/>
      <c r="IGR552"/>
      <c r="IGS552"/>
      <c r="IGT552"/>
      <c r="IGU552"/>
      <c r="IGV552"/>
      <c r="IGW552"/>
      <c r="IGX552"/>
      <c r="IGY552"/>
      <c r="IGZ552"/>
      <c r="IHA552"/>
      <c r="IHB552"/>
      <c r="IHC552"/>
      <c r="IHD552"/>
      <c r="IHE552"/>
      <c r="IHF552"/>
      <c r="IHG552"/>
      <c r="IHH552"/>
      <c r="IHI552"/>
      <c r="IHJ552"/>
      <c r="IHK552"/>
      <c r="IHL552"/>
      <c r="IHM552"/>
      <c r="IHN552"/>
      <c r="IHO552"/>
      <c r="IHP552"/>
      <c r="IHQ552"/>
      <c r="IHR552"/>
      <c r="IHS552"/>
      <c r="IHT552"/>
      <c r="IHU552"/>
      <c r="IHV552"/>
      <c r="IHW552"/>
      <c r="IHX552"/>
      <c r="IHY552"/>
      <c r="IHZ552"/>
      <c r="IIA552"/>
      <c r="IIB552"/>
      <c r="IIC552"/>
      <c r="IID552"/>
      <c r="IIE552"/>
      <c r="IIF552"/>
      <c r="IIG552"/>
      <c r="IIH552"/>
      <c r="III552"/>
      <c r="IIJ552"/>
      <c r="IIK552"/>
      <c r="IIL552"/>
      <c r="IIM552"/>
      <c r="IIN552"/>
      <c r="IIO552"/>
      <c r="IIP552"/>
      <c r="IIQ552"/>
      <c r="IIR552"/>
      <c r="IIS552"/>
      <c r="IIT552"/>
      <c r="IIU552"/>
      <c r="IIV552"/>
      <c r="IIW552"/>
      <c r="IIX552"/>
      <c r="IIY552"/>
      <c r="IIZ552"/>
      <c r="IJA552"/>
      <c r="IJB552"/>
      <c r="IJC552"/>
      <c r="IJD552"/>
      <c r="IJE552"/>
      <c r="IJF552"/>
      <c r="IJG552"/>
      <c r="IJH552"/>
      <c r="IJI552"/>
      <c r="IJJ552"/>
      <c r="IJK552"/>
      <c r="IJL552"/>
      <c r="IJM552"/>
      <c r="IJN552"/>
      <c r="IJO552"/>
      <c r="IJP552"/>
      <c r="IJQ552"/>
      <c r="IJR552"/>
      <c r="IJS552"/>
      <c r="IJT552"/>
      <c r="IJU552"/>
      <c r="IJV552"/>
      <c r="IJW552"/>
      <c r="IJX552"/>
      <c r="IJY552"/>
      <c r="IJZ552"/>
      <c r="IKA552"/>
      <c r="IKB552"/>
      <c r="IKC552"/>
      <c r="IKD552"/>
      <c r="IKE552"/>
      <c r="IKF552"/>
      <c r="IKG552"/>
      <c r="IKH552"/>
      <c r="IKI552"/>
      <c r="IKJ552"/>
      <c r="IKK552"/>
      <c r="IKL552"/>
      <c r="IKM552"/>
      <c r="IKN552"/>
      <c r="IKO552"/>
      <c r="IKP552"/>
      <c r="IKQ552"/>
      <c r="IKR552"/>
      <c r="IKS552"/>
      <c r="IKT552"/>
      <c r="IKU552"/>
      <c r="IKV552"/>
      <c r="IKW552"/>
      <c r="IKX552"/>
      <c r="IKY552"/>
      <c r="IKZ552"/>
      <c r="ILA552"/>
      <c r="ILB552"/>
      <c r="ILC552"/>
      <c r="ILD552"/>
      <c r="ILE552"/>
      <c r="ILF552"/>
      <c r="ILG552"/>
      <c r="ILH552"/>
      <c r="ILI552"/>
      <c r="ILJ552"/>
      <c r="ILK552"/>
      <c r="ILL552"/>
      <c r="ILM552"/>
      <c r="ILN552"/>
      <c r="ILO552"/>
      <c r="ILP552"/>
      <c r="ILQ552"/>
      <c r="ILR552"/>
      <c r="ILS552"/>
      <c r="ILT552"/>
      <c r="ILU552"/>
      <c r="ILV552"/>
      <c r="ILW552"/>
      <c r="ILX552"/>
      <c r="ILY552"/>
      <c r="ILZ552"/>
      <c r="IMA552"/>
      <c r="IMB552"/>
      <c r="IMC552"/>
      <c r="IMD552"/>
      <c r="IME552"/>
      <c r="IMF552"/>
      <c r="IMG552"/>
      <c r="IMH552"/>
      <c r="IMI552"/>
      <c r="IMJ552"/>
      <c r="IMK552"/>
      <c r="IML552"/>
      <c r="IMM552"/>
      <c r="IMN552"/>
      <c r="IMO552"/>
      <c r="IMP552"/>
      <c r="IMQ552"/>
      <c r="IMR552"/>
      <c r="IMS552"/>
      <c r="IMT552"/>
      <c r="IMU552"/>
      <c r="IMV552"/>
      <c r="IMW552"/>
      <c r="IMX552"/>
      <c r="IMY552"/>
      <c r="IMZ552"/>
      <c r="INA552"/>
      <c r="INB552"/>
      <c r="INC552"/>
      <c r="IND552"/>
      <c r="INE552"/>
      <c r="INF552"/>
      <c r="ING552"/>
      <c r="INH552"/>
      <c r="INI552"/>
      <c r="INJ552"/>
      <c r="INK552"/>
      <c r="INL552"/>
      <c r="INM552"/>
      <c r="INN552"/>
      <c r="INO552"/>
      <c r="INP552"/>
      <c r="INQ552"/>
      <c r="INR552"/>
      <c r="INS552"/>
      <c r="INT552"/>
      <c r="INU552"/>
      <c r="INV552"/>
      <c r="INW552"/>
      <c r="INX552"/>
      <c r="INY552"/>
      <c r="INZ552"/>
      <c r="IOA552"/>
      <c r="IOB552"/>
      <c r="IOC552"/>
      <c r="IOD552"/>
      <c r="IOE552"/>
      <c r="IOF552"/>
      <c r="IOG552"/>
      <c r="IOH552"/>
      <c r="IOI552"/>
      <c r="IOJ552"/>
      <c r="IOK552"/>
      <c r="IOL552"/>
      <c r="IOM552"/>
      <c r="ION552"/>
      <c r="IOO552"/>
      <c r="IOP552"/>
      <c r="IOQ552"/>
      <c r="IOR552"/>
      <c r="IOS552"/>
      <c r="IOT552"/>
      <c r="IOU552"/>
      <c r="IOV552"/>
      <c r="IOW552"/>
      <c r="IOX552"/>
      <c r="IOY552"/>
      <c r="IOZ552"/>
      <c r="IPA552"/>
      <c r="IPB552"/>
      <c r="IPC552"/>
      <c r="IPD552"/>
      <c r="IPE552"/>
      <c r="IPF552"/>
      <c r="IPG552"/>
      <c r="IPH552"/>
      <c r="IPI552"/>
      <c r="IPJ552"/>
      <c r="IPK552"/>
      <c r="IPL552"/>
      <c r="IPM552"/>
      <c r="IPN552"/>
      <c r="IPO552"/>
      <c r="IPP552"/>
      <c r="IPQ552"/>
      <c r="IPR552"/>
      <c r="IPS552"/>
      <c r="IPT552"/>
      <c r="IPU552"/>
      <c r="IPV552"/>
      <c r="IPW552"/>
      <c r="IPX552"/>
      <c r="IPY552"/>
      <c r="IPZ552"/>
      <c r="IQA552"/>
      <c r="IQB552"/>
      <c r="IQC552"/>
      <c r="IQD552"/>
      <c r="IQE552"/>
      <c r="IQF552"/>
      <c r="IQG552"/>
      <c r="IQH552"/>
      <c r="IQI552"/>
      <c r="IQJ552"/>
      <c r="IQK552"/>
      <c r="IQL552"/>
      <c r="IQM552"/>
      <c r="IQN552"/>
      <c r="IQO552"/>
      <c r="IQP552"/>
      <c r="IQQ552"/>
      <c r="IQR552"/>
      <c r="IQS552"/>
      <c r="IQT552"/>
      <c r="IQU552"/>
      <c r="IQV552"/>
      <c r="IQW552"/>
      <c r="IQX552"/>
      <c r="IQY552"/>
      <c r="IQZ552"/>
      <c r="IRA552"/>
      <c r="IRB552"/>
      <c r="IRC552"/>
      <c r="IRD552"/>
      <c r="IRE552"/>
      <c r="IRF552"/>
      <c r="IRG552"/>
      <c r="IRH552"/>
      <c r="IRI552"/>
      <c r="IRJ552"/>
      <c r="IRK552"/>
      <c r="IRL552"/>
      <c r="IRM552"/>
      <c r="IRN552"/>
      <c r="IRO552"/>
      <c r="IRP552"/>
      <c r="IRQ552"/>
      <c r="IRR552"/>
      <c r="IRS552"/>
      <c r="IRT552"/>
      <c r="IRU552"/>
      <c r="IRV552"/>
      <c r="IRW552"/>
      <c r="IRX552"/>
      <c r="IRY552"/>
      <c r="IRZ552"/>
      <c r="ISA552"/>
      <c r="ISB552"/>
      <c r="ISC552"/>
      <c r="ISD552"/>
      <c r="ISE552"/>
      <c r="ISF552"/>
      <c r="ISG552"/>
      <c r="ISH552"/>
      <c r="ISI552"/>
      <c r="ISJ552"/>
      <c r="ISK552"/>
      <c r="ISL552"/>
      <c r="ISM552"/>
      <c r="ISN552"/>
      <c r="ISO552"/>
      <c r="ISP552"/>
      <c r="ISQ552"/>
      <c r="ISR552"/>
      <c r="ISS552"/>
      <c r="IST552"/>
      <c r="ISU552"/>
      <c r="ISV552"/>
      <c r="ISW552"/>
      <c r="ISX552"/>
      <c r="ISY552"/>
      <c r="ISZ552"/>
      <c r="ITA552"/>
      <c r="ITB552"/>
      <c r="ITC552"/>
      <c r="ITD552"/>
      <c r="ITE552"/>
      <c r="ITF552"/>
      <c r="ITG552"/>
      <c r="ITH552"/>
      <c r="ITI552"/>
      <c r="ITJ552"/>
      <c r="ITK552"/>
      <c r="ITL552"/>
      <c r="ITM552"/>
      <c r="ITN552"/>
      <c r="ITO552"/>
      <c r="ITP552"/>
      <c r="ITQ552"/>
      <c r="ITR552"/>
      <c r="ITS552"/>
      <c r="ITT552"/>
      <c r="ITU552"/>
      <c r="ITV552"/>
      <c r="ITW552"/>
      <c r="ITX552"/>
      <c r="ITY552"/>
      <c r="ITZ552"/>
      <c r="IUA552"/>
      <c r="IUB552"/>
      <c r="IUC552"/>
      <c r="IUD552"/>
      <c r="IUE552"/>
      <c r="IUF552"/>
      <c r="IUG552"/>
      <c r="IUH552"/>
      <c r="IUI552"/>
      <c r="IUJ552"/>
      <c r="IUK552"/>
      <c r="IUL552"/>
      <c r="IUM552"/>
      <c r="IUN552"/>
      <c r="IUO552"/>
      <c r="IUP552"/>
      <c r="IUQ552"/>
      <c r="IUR552"/>
      <c r="IUS552"/>
      <c r="IUT552"/>
      <c r="IUU552"/>
      <c r="IUV552"/>
      <c r="IUW552"/>
      <c r="IUX552"/>
      <c r="IUY552"/>
      <c r="IUZ552"/>
      <c r="IVA552"/>
      <c r="IVB552"/>
      <c r="IVC552"/>
      <c r="IVD552"/>
      <c r="IVE552"/>
      <c r="IVF552"/>
      <c r="IVG552"/>
      <c r="IVH552"/>
      <c r="IVI552"/>
      <c r="IVJ552"/>
      <c r="IVK552"/>
      <c r="IVL552"/>
      <c r="IVM552"/>
      <c r="IVN552"/>
      <c r="IVO552"/>
      <c r="IVP552"/>
      <c r="IVQ552"/>
      <c r="IVR552"/>
      <c r="IVS552"/>
      <c r="IVT552"/>
      <c r="IVU552"/>
      <c r="IVV552"/>
      <c r="IVW552"/>
      <c r="IVX552"/>
      <c r="IVY552"/>
      <c r="IVZ552"/>
      <c r="IWA552"/>
      <c r="IWB552"/>
      <c r="IWC552"/>
      <c r="IWD552"/>
      <c r="IWE552"/>
      <c r="IWF552"/>
      <c r="IWG552"/>
      <c r="IWH552"/>
      <c r="IWI552"/>
      <c r="IWJ552"/>
      <c r="IWK552"/>
      <c r="IWL552"/>
      <c r="IWM552"/>
      <c r="IWN552"/>
      <c r="IWO552"/>
      <c r="IWP552"/>
      <c r="IWQ552"/>
      <c r="IWR552"/>
      <c r="IWS552"/>
      <c r="IWT552"/>
      <c r="IWU552"/>
      <c r="IWV552"/>
      <c r="IWW552"/>
      <c r="IWX552"/>
      <c r="IWY552"/>
      <c r="IWZ552"/>
      <c r="IXA552"/>
      <c r="IXB552"/>
      <c r="IXC552"/>
      <c r="IXD552"/>
      <c r="IXE552"/>
      <c r="IXF552"/>
      <c r="IXG552"/>
      <c r="IXH552"/>
      <c r="IXI552"/>
      <c r="IXJ552"/>
      <c r="IXK552"/>
      <c r="IXL552"/>
      <c r="IXM552"/>
      <c r="IXN552"/>
      <c r="IXO552"/>
      <c r="IXP552"/>
      <c r="IXQ552"/>
      <c r="IXR552"/>
      <c r="IXS552"/>
      <c r="IXT552"/>
      <c r="IXU552"/>
      <c r="IXV552"/>
      <c r="IXW552"/>
      <c r="IXX552"/>
      <c r="IXY552"/>
      <c r="IXZ552"/>
      <c r="IYA552"/>
      <c r="IYB552"/>
      <c r="IYC552"/>
      <c r="IYD552"/>
      <c r="IYE552"/>
      <c r="IYF552"/>
      <c r="IYG552"/>
      <c r="IYH552"/>
      <c r="IYI552"/>
      <c r="IYJ552"/>
      <c r="IYK552"/>
      <c r="IYL552"/>
      <c r="IYM552"/>
      <c r="IYN552"/>
      <c r="IYO552"/>
      <c r="IYP552"/>
      <c r="IYQ552"/>
      <c r="IYR552"/>
      <c r="IYS552"/>
      <c r="IYT552"/>
      <c r="IYU552"/>
      <c r="IYV552"/>
      <c r="IYW552"/>
      <c r="IYX552"/>
      <c r="IYY552"/>
      <c r="IYZ552"/>
      <c r="IZA552"/>
      <c r="IZB552"/>
      <c r="IZC552"/>
      <c r="IZD552"/>
      <c r="IZE552"/>
      <c r="IZF552"/>
      <c r="IZG552"/>
      <c r="IZH552"/>
      <c r="IZI552"/>
      <c r="IZJ552"/>
      <c r="IZK552"/>
      <c r="IZL552"/>
      <c r="IZM552"/>
      <c r="IZN552"/>
      <c r="IZO552"/>
      <c r="IZP552"/>
      <c r="IZQ552"/>
      <c r="IZR552"/>
      <c r="IZS552"/>
      <c r="IZT552"/>
      <c r="IZU552"/>
      <c r="IZV552"/>
      <c r="IZW552"/>
      <c r="IZX552"/>
      <c r="IZY552"/>
      <c r="IZZ552"/>
      <c r="JAA552"/>
      <c r="JAB552"/>
      <c r="JAC552"/>
      <c r="JAD552"/>
      <c r="JAE552"/>
      <c r="JAF552"/>
      <c r="JAG552"/>
      <c r="JAH552"/>
      <c r="JAI552"/>
      <c r="JAJ552"/>
      <c r="JAK552"/>
      <c r="JAL552"/>
      <c r="JAM552"/>
      <c r="JAN552"/>
      <c r="JAO552"/>
      <c r="JAP552"/>
      <c r="JAQ552"/>
      <c r="JAR552"/>
      <c r="JAS552"/>
      <c r="JAT552"/>
      <c r="JAU552"/>
      <c r="JAV552"/>
      <c r="JAW552"/>
      <c r="JAX552"/>
      <c r="JAY552"/>
      <c r="JAZ552"/>
      <c r="JBA552"/>
      <c r="JBB552"/>
      <c r="JBC552"/>
      <c r="JBD552"/>
      <c r="JBE552"/>
      <c r="JBF552"/>
      <c r="JBG552"/>
      <c r="JBH552"/>
      <c r="JBI552"/>
      <c r="JBJ552"/>
      <c r="JBK552"/>
      <c r="JBL552"/>
      <c r="JBM552"/>
      <c r="JBN552"/>
      <c r="JBO552"/>
      <c r="JBP552"/>
      <c r="JBQ552"/>
      <c r="JBR552"/>
      <c r="JBS552"/>
      <c r="JBT552"/>
      <c r="JBU552"/>
      <c r="JBV552"/>
      <c r="JBW552"/>
      <c r="JBX552"/>
      <c r="JBY552"/>
      <c r="JBZ552"/>
      <c r="JCA552"/>
      <c r="JCB552"/>
      <c r="JCC552"/>
      <c r="JCD552"/>
      <c r="JCE552"/>
      <c r="JCF552"/>
      <c r="JCG552"/>
      <c r="JCH552"/>
      <c r="JCI552"/>
      <c r="JCJ552"/>
      <c r="JCK552"/>
      <c r="JCL552"/>
      <c r="JCM552"/>
      <c r="JCN552"/>
      <c r="JCO552"/>
      <c r="JCP552"/>
      <c r="JCQ552"/>
      <c r="JCR552"/>
      <c r="JCS552"/>
      <c r="JCT552"/>
      <c r="JCU552"/>
      <c r="JCV552"/>
      <c r="JCW552"/>
      <c r="JCX552"/>
      <c r="JCY552"/>
      <c r="JCZ552"/>
      <c r="JDA552"/>
      <c r="JDB552"/>
      <c r="JDC552"/>
      <c r="JDD552"/>
      <c r="JDE552"/>
      <c r="JDF552"/>
      <c r="JDG552"/>
      <c r="JDH552"/>
      <c r="JDI552"/>
      <c r="JDJ552"/>
      <c r="JDK552"/>
      <c r="JDL552"/>
      <c r="JDM552"/>
      <c r="JDN552"/>
      <c r="JDO552"/>
      <c r="JDP552"/>
      <c r="JDQ552"/>
      <c r="JDR552"/>
      <c r="JDS552"/>
      <c r="JDT552"/>
      <c r="JDU552"/>
      <c r="JDV552"/>
      <c r="JDW552"/>
      <c r="JDX552"/>
      <c r="JDY552"/>
      <c r="JDZ552"/>
      <c r="JEA552"/>
      <c r="JEB552"/>
      <c r="JEC552"/>
      <c r="JED552"/>
      <c r="JEE552"/>
      <c r="JEF552"/>
      <c r="JEG552"/>
      <c r="JEH552"/>
      <c r="JEI552"/>
      <c r="JEJ552"/>
      <c r="JEK552"/>
      <c r="JEL552"/>
      <c r="JEM552"/>
      <c r="JEN552"/>
      <c r="JEO552"/>
      <c r="JEP552"/>
      <c r="JEQ552"/>
      <c r="JER552"/>
      <c r="JES552"/>
      <c r="JET552"/>
      <c r="JEU552"/>
      <c r="JEV552"/>
      <c r="JEW552"/>
      <c r="JEX552"/>
      <c r="JEY552"/>
      <c r="JEZ552"/>
      <c r="JFA552"/>
      <c r="JFB552"/>
      <c r="JFC552"/>
      <c r="JFD552"/>
      <c r="JFE552"/>
      <c r="JFF552"/>
      <c r="JFG552"/>
      <c r="JFH552"/>
      <c r="JFI552"/>
      <c r="JFJ552"/>
      <c r="JFK552"/>
      <c r="JFL552"/>
      <c r="JFM552"/>
      <c r="JFN552"/>
      <c r="JFO552"/>
      <c r="JFP552"/>
      <c r="JFQ552"/>
      <c r="JFR552"/>
      <c r="JFS552"/>
      <c r="JFT552"/>
      <c r="JFU552"/>
      <c r="JFV552"/>
      <c r="JFW552"/>
      <c r="JFX552"/>
      <c r="JFY552"/>
      <c r="JFZ552"/>
      <c r="JGA552"/>
      <c r="JGB552"/>
      <c r="JGC552"/>
      <c r="JGD552"/>
      <c r="JGE552"/>
      <c r="JGF552"/>
      <c r="JGG552"/>
      <c r="JGH552"/>
      <c r="JGI552"/>
      <c r="JGJ552"/>
      <c r="JGK552"/>
      <c r="JGL552"/>
      <c r="JGM552"/>
      <c r="JGN552"/>
      <c r="JGO552"/>
      <c r="JGP552"/>
      <c r="JGQ552"/>
      <c r="JGR552"/>
      <c r="JGS552"/>
      <c r="JGT552"/>
      <c r="JGU552"/>
      <c r="JGV552"/>
      <c r="JGW552"/>
      <c r="JGX552"/>
      <c r="JGY552"/>
      <c r="JGZ552"/>
      <c r="JHA552"/>
      <c r="JHB552"/>
      <c r="JHC552"/>
      <c r="JHD552"/>
      <c r="JHE552"/>
      <c r="JHF552"/>
      <c r="JHG552"/>
      <c r="JHH552"/>
      <c r="JHI552"/>
      <c r="JHJ552"/>
      <c r="JHK552"/>
      <c r="JHL552"/>
      <c r="JHM552"/>
      <c r="JHN552"/>
      <c r="JHO552"/>
      <c r="JHP552"/>
      <c r="JHQ552"/>
      <c r="JHR552"/>
      <c r="JHS552"/>
      <c r="JHT552"/>
      <c r="JHU552"/>
      <c r="JHV552"/>
      <c r="JHW552"/>
      <c r="JHX552"/>
      <c r="JHY552"/>
      <c r="JHZ552"/>
      <c r="JIA552"/>
      <c r="JIB552"/>
      <c r="JIC552"/>
      <c r="JID552"/>
      <c r="JIE552"/>
      <c r="JIF552"/>
      <c r="JIG552"/>
      <c r="JIH552"/>
      <c r="JII552"/>
      <c r="JIJ552"/>
      <c r="JIK552"/>
      <c r="JIL552"/>
      <c r="JIM552"/>
      <c r="JIN552"/>
      <c r="JIO552"/>
      <c r="JIP552"/>
      <c r="JIQ552"/>
      <c r="JIR552"/>
      <c r="JIS552"/>
      <c r="JIT552"/>
      <c r="JIU552"/>
      <c r="JIV552"/>
      <c r="JIW552"/>
      <c r="JIX552"/>
      <c r="JIY552"/>
      <c r="JIZ552"/>
      <c r="JJA552"/>
      <c r="JJB552"/>
      <c r="JJC552"/>
      <c r="JJD552"/>
      <c r="JJE552"/>
      <c r="JJF552"/>
      <c r="JJG552"/>
      <c r="JJH552"/>
      <c r="JJI552"/>
      <c r="JJJ552"/>
      <c r="JJK552"/>
      <c r="JJL552"/>
      <c r="JJM552"/>
      <c r="JJN552"/>
      <c r="JJO552"/>
      <c r="JJP552"/>
      <c r="JJQ552"/>
      <c r="JJR552"/>
      <c r="JJS552"/>
      <c r="JJT552"/>
      <c r="JJU552"/>
      <c r="JJV552"/>
      <c r="JJW552"/>
      <c r="JJX552"/>
      <c r="JJY552"/>
      <c r="JJZ552"/>
      <c r="JKA552"/>
      <c r="JKB552"/>
      <c r="JKC552"/>
      <c r="JKD552"/>
      <c r="JKE552"/>
      <c r="JKF552"/>
      <c r="JKG552"/>
      <c r="JKH552"/>
      <c r="JKI552"/>
      <c r="JKJ552"/>
      <c r="JKK552"/>
      <c r="JKL552"/>
      <c r="JKM552"/>
      <c r="JKN552"/>
      <c r="JKO552"/>
      <c r="JKP552"/>
      <c r="JKQ552"/>
      <c r="JKR552"/>
      <c r="JKS552"/>
      <c r="JKT552"/>
      <c r="JKU552"/>
      <c r="JKV552"/>
      <c r="JKW552"/>
      <c r="JKX552"/>
      <c r="JKY552"/>
      <c r="JKZ552"/>
      <c r="JLA552"/>
      <c r="JLB552"/>
      <c r="JLC552"/>
      <c r="JLD552"/>
      <c r="JLE552"/>
      <c r="JLF552"/>
      <c r="JLG552"/>
      <c r="JLH552"/>
      <c r="JLI552"/>
      <c r="JLJ552"/>
      <c r="JLK552"/>
      <c r="JLL552"/>
      <c r="JLM552"/>
      <c r="JLN552"/>
      <c r="JLO552"/>
      <c r="JLP552"/>
      <c r="JLQ552"/>
      <c r="JLR552"/>
      <c r="JLS552"/>
      <c r="JLT552"/>
      <c r="JLU552"/>
      <c r="JLV552"/>
      <c r="JLW552"/>
      <c r="JLX552"/>
      <c r="JLY552"/>
      <c r="JLZ552"/>
      <c r="JMA552"/>
      <c r="JMB552"/>
      <c r="JMC552"/>
      <c r="JMD552"/>
      <c r="JME552"/>
      <c r="JMF552"/>
      <c r="JMG552"/>
      <c r="JMH552"/>
      <c r="JMI552"/>
      <c r="JMJ552"/>
      <c r="JMK552"/>
      <c r="JML552"/>
      <c r="JMM552"/>
      <c r="JMN552"/>
      <c r="JMO552"/>
      <c r="JMP552"/>
      <c r="JMQ552"/>
      <c r="JMR552"/>
      <c r="JMS552"/>
      <c r="JMT552"/>
      <c r="JMU552"/>
      <c r="JMV552"/>
      <c r="JMW552"/>
      <c r="JMX552"/>
      <c r="JMY552"/>
      <c r="JMZ552"/>
      <c r="JNA552"/>
      <c r="JNB552"/>
      <c r="JNC552"/>
      <c r="JND552"/>
      <c r="JNE552"/>
      <c r="JNF552"/>
      <c r="JNG552"/>
      <c r="JNH552"/>
      <c r="JNI552"/>
      <c r="JNJ552"/>
      <c r="JNK552"/>
      <c r="JNL552"/>
      <c r="JNM552"/>
      <c r="JNN552"/>
      <c r="JNO552"/>
      <c r="JNP552"/>
      <c r="JNQ552"/>
      <c r="JNR552"/>
      <c r="JNS552"/>
      <c r="JNT552"/>
      <c r="JNU552"/>
      <c r="JNV552"/>
      <c r="JNW552"/>
      <c r="JNX552"/>
      <c r="JNY552"/>
      <c r="JNZ552"/>
      <c r="JOA552"/>
      <c r="JOB552"/>
      <c r="JOC552"/>
      <c r="JOD552"/>
      <c r="JOE552"/>
      <c r="JOF552"/>
      <c r="JOG552"/>
      <c r="JOH552"/>
      <c r="JOI552"/>
      <c r="JOJ552"/>
      <c r="JOK552"/>
      <c r="JOL552"/>
      <c r="JOM552"/>
      <c r="JON552"/>
      <c r="JOO552"/>
      <c r="JOP552"/>
      <c r="JOQ552"/>
      <c r="JOR552"/>
      <c r="JOS552"/>
      <c r="JOT552"/>
      <c r="JOU552"/>
      <c r="JOV552"/>
      <c r="JOW552"/>
      <c r="JOX552"/>
      <c r="JOY552"/>
      <c r="JOZ552"/>
      <c r="JPA552"/>
      <c r="JPB552"/>
      <c r="JPC552"/>
      <c r="JPD552"/>
      <c r="JPE552"/>
      <c r="JPF552"/>
      <c r="JPG552"/>
      <c r="JPH552"/>
      <c r="JPI552"/>
      <c r="JPJ552"/>
      <c r="JPK552"/>
      <c r="JPL552"/>
      <c r="JPM552"/>
      <c r="JPN552"/>
      <c r="JPO552"/>
      <c r="JPP552"/>
      <c r="JPQ552"/>
      <c r="JPR552"/>
      <c r="JPS552"/>
      <c r="JPT552"/>
      <c r="JPU552"/>
      <c r="JPV552"/>
      <c r="JPW552"/>
      <c r="JPX552"/>
      <c r="JPY552"/>
      <c r="JPZ552"/>
      <c r="JQA552"/>
      <c r="JQB552"/>
      <c r="JQC552"/>
      <c r="JQD552"/>
      <c r="JQE552"/>
      <c r="JQF552"/>
      <c r="JQG552"/>
      <c r="JQH552"/>
      <c r="JQI552"/>
      <c r="JQJ552"/>
      <c r="JQK552"/>
      <c r="JQL552"/>
      <c r="JQM552"/>
      <c r="JQN552"/>
      <c r="JQO552"/>
      <c r="JQP552"/>
      <c r="JQQ552"/>
      <c r="JQR552"/>
      <c r="JQS552"/>
      <c r="JQT552"/>
      <c r="JQU552"/>
      <c r="JQV552"/>
      <c r="JQW552"/>
      <c r="JQX552"/>
      <c r="JQY552"/>
      <c r="JQZ552"/>
      <c r="JRA552"/>
      <c r="JRB552"/>
      <c r="JRC552"/>
      <c r="JRD552"/>
      <c r="JRE552"/>
      <c r="JRF552"/>
      <c r="JRG552"/>
      <c r="JRH552"/>
      <c r="JRI552"/>
      <c r="JRJ552"/>
      <c r="JRK552"/>
      <c r="JRL552"/>
      <c r="JRM552"/>
      <c r="JRN552"/>
      <c r="JRO552"/>
      <c r="JRP552"/>
      <c r="JRQ552"/>
      <c r="JRR552"/>
      <c r="JRS552"/>
      <c r="JRT552"/>
      <c r="JRU552"/>
      <c r="JRV552"/>
      <c r="JRW552"/>
      <c r="JRX552"/>
      <c r="JRY552"/>
      <c r="JRZ552"/>
      <c r="JSA552"/>
      <c r="JSB552"/>
      <c r="JSC552"/>
      <c r="JSD552"/>
      <c r="JSE552"/>
      <c r="JSF552"/>
      <c r="JSG552"/>
      <c r="JSH552"/>
      <c r="JSI552"/>
      <c r="JSJ552"/>
      <c r="JSK552"/>
      <c r="JSL552"/>
      <c r="JSM552"/>
      <c r="JSN552"/>
      <c r="JSO552"/>
      <c r="JSP552"/>
      <c r="JSQ552"/>
      <c r="JSR552"/>
      <c r="JSS552"/>
      <c r="JST552"/>
      <c r="JSU552"/>
      <c r="JSV552"/>
      <c r="JSW552"/>
      <c r="JSX552"/>
      <c r="JSY552"/>
      <c r="JSZ552"/>
      <c r="JTA552"/>
      <c r="JTB552"/>
      <c r="JTC552"/>
      <c r="JTD552"/>
      <c r="JTE552"/>
      <c r="JTF552"/>
      <c r="JTG552"/>
      <c r="JTH552"/>
      <c r="JTI552"/>
      <c r="JTJ552"/>
      <c r="JTK552"/>
      <c r="JTL552"/>
      <c r="JTM552"/>
      <c r="JTN552"/>
      <c r="JTO552"/>
      <c r="JTP552"/>
      <c r="JTQ552"/>
      <c r="JTR552"/>
      <c r="JTS552"/>
      <c r="JTT552"/>
      <c r="JTU552"/>
      <c r="JTV552"/>
      <c r="JTW552"/>
      <c r="JTX552"/>
      <c r="JTY552"/>
      <c r="JTZ552"/>
      <c r="JUA552"/>
      <c r="JUB552"/>
      <c r="JUC552"/>
      <c r="JUD552"/>
      <c r="JUE552"/>
      <c r="JUF552"/>
      <c r="JUG552"/>
      <c r="JUH552"/>
      <c r="JUI552"/>
      <c r="JUJ552"/>
      <c r="JUK552"/>
      <c r="JUL552"/>
      <c r="JUM552"/>
      <c r="JUN552"/>
      <c r="JUO552"/>
      <c r="JUP552"/>
      <c r="JUQ552"/>
      <c r="JUR552"/>
      <c r="JUS552"/>
      <c r="JUT552"/>
      <c r="JUU552"/>
      <c r="JUV552"/>
      <c r="JUW552"/>
      <c r="JUX552"/>
      <c r="JUY552"/>
      <c r="JUZ552"/>
      <c r="JVA552"/>
      <c r="JVB552"/>
      <c r="JVC552"/>
      <c r="JVD552"/>
      <c r="JVE552"/>
      <c r="JVF552"/>
      <c r="JVG552"/>
      <c r="JVH552"/>
      <c r="JVI552"/>
      <c r="JVJ552"/>
      <c r="JVK552"/>
      <c r="JVL552"/>
      <c r="JVM552"/>
      <c r="JVN552"/>
      <c r="JVO552"/>
      <c r="JVP552"/>
      <c r="JVQ552"/>
      <c r="JVR552"/>
      <c r="JVS552"/>
      <c r="JVT552"/>
      <c r="JVU552"/>
      <c r="JVV552"/>
      <c r="JVW552"/>
      <c r="JVX552"/>
      <c r="JVY552"/>
      <c r="JVZ552"/>
      <c r="JWA552"/>
      <c r="JWB552"/>
      <c r="JWC552"/>
      <c r="JWD552"/>
      <c r="JWE552"/>
      <c r="JWF552"/>
      <c r="JWG552"/>
      <c r="JWH552"/>
      <c r="JWI552"/>
      <c r="JWJ552"/>
      <c r="JWK552"/>
      <c r="JWL552"/>
      <c r="JWM552"/>
      <c r="JWN552"/>
      <c r="JWO552"/>
      <c r="JWP552"/>
      <c r="JWQ552"/>
      <c r="JWR552"/>
      <c r="JWS552"/>
      <c r="JWT552"/>
      <c r="JWU552"/>
      <c r="JWV552"/>
      <c r="JWW552"/>
      <c r="JWX552"/>
      <c r="JWY552"/>
      <c r="JWZ552"/>
      <c r="JXA552"/>
      <c r="JXB552"/>
      <c r="JXC552"/>
      <c r="JXD552"/>
      <c r="JXE552"/>
      <c r="JXF552"/>
      <c r="JXG552"/>
      <c r="JXH552"/>
      <c r="JXI552"/>
      <c r="JXJ552"/>
      <c r="JXK552"/>
      <c r="JXL552"/>
      <c r="JXM552"/>
      <c r="JXN552"/>
      <c r="JXO552"/>
      <c r="JXP552"/>
      <c r="JXQ552"/>
      <c r="JXR552"/>
      <c r="JXS552"/>
      <c r="JXT552"/>
      <c r="JXU552"/>
      <c r="JXV552"/>
      <c r="JXW552"/>
      <c r="JXX552"/>
      <c r="JXY552"/>
      <c r="JXZ552"/>
      <c r="JYA552"/>
      <c r="JYB552"/>
      <c r="JYC552"/>
      <c r="JYD552"/>
      <c r="JYE552"/>
      <c r="JYF552"/>
      <c r="JYG552"/>
      <c r="JYH552"/>
      <c r="JYI552"/>
      <c r="JYJ552"/>
      <c r="JYK552"/>
      <c r="JYL552"/>
      <c r="JYM552"/>
      <c r="JYN552"/>
      <c r="JYO552"/>
      <c r="JYP552"/>
      <c r="JYQ552"/>
      <c r="JYR552"/>
      <c r="JYS552"/>
      <c r="JYT552"/>
      <c r="JYU552"/>
      <c r="JYV552"/>
      <c r="JYW552"/>
      <c r="JYX552"/>
      <c r="JYY552"/>
      <c r="JYZ552"/>
      <c r="JZA552"/>
      <c r="JZB552"/>
      <c r="JZC552"/>
      <c r="JZD552"/>
      <c r="JZE552"/>
      <c r="JZF552"/>
      <c r="JZG552"/>
      <c r="JZH552"/>
      <c r="JZI552"/>
      <c r="JZJ552"/>
      <c r="JZK552"/>
      <c r="JZL552"/>
      <c r="JZM552"/>
      <c r="JZN552"/>
      <c r="JZO552"/>
      <c r="JZP552"/>
      <c r="JZQ552"/>
      <c r="JZR552"/>
      <c r="JZS552"/>
      <c r="JZT552"/>
      <c r="JZU552"/>
      <c r="JZV552"/>
      <c r="JZW552"/>
      <c r="JZX552"/>
      <c r="JZY552"/>
      <c r="JZZ552"/>
      <c r="KAA552"/>
      <c r="KAB552"/>
      <c r="KAC552"/>
      <c r="KAD552"/>
      <c r="KAE552"/>
      <c r="KAF552"/>
      <c r="KAG552"/>
      <c r="KAH552"/>
      <c r="KAI552"/>
      <c r="KAJ552"/>
      <c r="KAK552"/>
      <c r="KAL552"/>
      <c r="KAM552"/>
      <c r="KAN552"/>
      <c r="KAO552"/>
      <c r="KAP552"/>
      <c r="KAQ552"/>
      <c r="KAR552"/>
      <c r="KAS552"/>
      <c r="KAT552"/>
      <c r="KAU552"/>
      <c r="KAV552"/>
      <c r="KAW552"/>
      <c r="KAX552"/>
      <c r="KAY552"/>
      <c r="KAZ552"/>
      <c r="KBA552"/>
      <c r="KBB552"/>
      <c r="KBC552"/>
      <c r="KBD552"/>
      <c r="KBE552"/>
      <c r="KBF552"/>
      <c r="KBG552"/>
      <c r="KBH552"/>
      <c r="KBI552"/>
      <c r="KBJ552"/>
      <c r="KBK552"/>
      <c r="KBL552"/>
      <c r="KBM552"/>
      <c r="KBN552"/>
      <c r="KBO552"/>
      <c r="KBP552"/>
      <c r="KBQ552"/>
      <c r="KBR552"/>
      <c r="KBS552"/>
      <c r="KBT552"/>
      <c r="KBU552"/>
      <c r="KBV552"/>
      <c r="KBW552"/>
      <c r="KBX552"/>
      <c r="KBY552"/>
      <c r="KBZ552"/>
      <c r="KCA552"/>
      <c r="KCB552"/>
      <c r="KCC552"/>
      <c r="KCD552"/>
      <c r="KCE552"/>
      <c r="KCF552"/>
      <c r="KCG552"/>
      <c r="KCH552"/>
      <c r="KCI552"/>
      <c r="KCJ552"/>
      <c r="KCK552"/>
      <c r="KCL552"/>
      <c r="KCM552"/>
      <c r="KCN552"/>
      <c r="KCO552"/>
      <c r="KCP552"/>
      <c r="KCQ552"/>
      <c r="KCR552"/>
      <c r="KCS552"/>
      <c r="KCT552"/>
      <c r="KCU552"/>
      <c r="KCV552"/>
      <c r="KCW552"/>
      <c r="KCX552"/>
      <c r="KCY552"/>
      <c r="KCZ552"/>
      <c r="KDA552"/>
      <c r="KDB552"/>
      <c r="KDC552"/>
      <c r="KDD552"/>
      <c r="KDE552"/>
      <c r="KDF552"/>
      <c r="KDG552"/>
      <c r="KDH552"/>
      <c r="KDI552"/>
      <c r="KDJ552"/>
      <c r="KDK552"/>
      <c r="KDL552"/>
      <c r="KDM552"/>
      <c r="KDN552"/>
      <c r="KDO552"/>
      <c r="KDP552"/>
      <c r="KDQ552"/>
      <c r="KDR552"/>
      <c r="KDS552"/>
      <c r="KDT552"/>
      <c r="KDU552"/>
      <c r="KDV552"/>
      <c r="KDW552"/>
      <c r="KDX552"/>
      <c r="KDY552"/>
      <c r="KDZ552"/>
      <c r="KEA552"/>
      <c r="KEB552"/>
      <c r="KEC552"/>
      <c r="KED552"/>
      <c r="KEE552"/>
      <c r="KEF552"/>
      <c r="KEG552"/>
      <c r="KEH552"/>
      <c r="KEI552"/>
      <c r="KEJ552"/>
      <c r="KEK552"/>
      <c r="KEL552"/>
      <c r="KEM552"/>
      <c r="KEN552"/>
      <c r="KEO552"/>
      <c r="KEP552"/>
      <c r="KEQ552"/>
      <c r="KER552"/>
      <c r="KES552"/>
      <c r="KET552"/>
      <c r="KEU552"/>
      <c r="KEV552"/>
      <c r="KEW552"/>
      <c r="KEX552"/>
      <c r="KEY552"/>
      <c r="KEZ552"/>
      <c r="KFA552"/>
      <c r="KFB552"/>
      <c r="KFC552"/>
      <c r="KFD552"/>
      <c r="KFE552"/>
      <c r="KFF552"/>
      <c r="KFG552"/>
      <c r="KFH552"/>
      <c r="KFI552"/>
      <c r="KFJ552"/>
      <c r="KFK552"/>
      <c r="KFL552"/>
      <c r="KFM552"/>
      <c r="KFN552"/>
      <c r="KFO552"/>
      <c r="KFP552"/>
      <c r="KFQ552"/>
      <c r="KFR552"/>
      <c r="KFS552"/>
      <c r="KFT552"/>
      <c r="KFU552"/>
      <c r="KFV552"/>
      <c r="KFW552"/>
      <c r="KFX552"/>
      <c r="KFY552"/>
      <c r="KFZ552"/>
      <c r="KGA552"/>
      <c r="KGB552"/>
      <c r="KGC552"/>
      <c r="KGD552"/>
      <c r="KGE552"/>
      <c r="KGF552"/>
      <c r="KGG552"/>
      <c r="KGH552"/>
      <c r="KGI552"/>
      <c r="KGJ552"/>
      <c r="KGK552"/>
      <c r="KGL552"/>
      <c r="KGM552"/>
      <c r="KGN552"/>
      <c r="KGO552"/>
      <c r="KGP552"/>
      <c r="KGQ552"/>
      <c r="KGR552"/>
      <c r="KGS552"/>
      <c r="KGT552"/>
      <c r="KGU552"/>
      <c r="KGV552"/>
      <c r="KGW552"/>
      <c r="KGX552"/>
      <c r="KGY552"/>
      <c r="KGZ552"/>
      <c r="KHA552"/>
      <c r="KHB552"/>
      <c r="KHC552"/>
      <c r="KHD552"/>
      <c r="KHE552"/>
      <c r="KHF552"/>
      <c r="KHG552"/>
      <c r="KHH552"/>
      <c r="KHI552"/>
      <c r="KHJ552"/>
      <c r="KHK552"/>
      <c r="KHL552"/>
      <c r="KHM552"/>
      <c r="KHN552"/>
      <c r="KHO552"/>
      <c r="KHP552"/>
      <c r="KHQ552"/>
      <c r="KHR552"/>
      <c r="KHS552"/>
      <c r="KHT552"/>
      <c r="KHU552"/>
      <c r="KHV552"/>
      <c r="KHW552"/>
      <c r="KHX552"/>
      <c r="KHY552"/>
      <c r="KHZ552"/>
      <c r="KIA552"/>
      <c r="KIB552"/>
      <c r="KIC552"/>
      <c r="KID552"/>
      <c r="KIE552"/>
      <c r="KIF552"/>
      <c r="KIG552"/>
      <c r="KIH552"/>
      <c r="KII552"/>
      <c r="KIJ552"/>
      <c r="KIK552"/>
      <c r="KIL552"/>
      <c r="KIM552"/>
      <c r="KIN552"/>
      <c r="KIO552"/>
      <c r="KIP552"/>
      <c r="KIQ552"/>
      <c r="KIR552"/>
      <c r="KIS552"/>
      <c r="KIT552"/>
      <c r="KIU552"/>
      <c r="KIV552"/>
      <c r="KIW552"/>
      <c r="KIX552"/>
      <c r="KIY552"/>
      <c r="KIZ552"/>
      <c r="KJA552"/>
      <c r="KJB552"/>
      <c r="KJC552"/>
      <c r="KJD552"/>
      <c r="KJE552"/>
      <c r="KJF552"/>
      <c r="KJG552"/>
      <c r="KJH552"/>
      <c r="KJI552"/>
      <c r="KJJ552"/>
      <c r="KJK552"/>
      <c r="KJL552"/>
      <c r="KJM552"/>
      <c r="KJN552"/>
      <c r="KJO552"/>
      <c r="KJP552"/>
      <c r="KJQ552"/>
      <c r="KJR552"/>
      <c r="KJS552"/>
      <c r="KJT552"/>
      <c r="KJU552"/>
      <c r="KJV552"/>
      <c r="KJW552"/>
      <c r="KJX552"/>
      <c r="KJY552"/>
      <c r="KJZ552"/>
      <c r="KKA552"/>
      <c r="KKB552"/>
      <c r="KKC552"/>
      <c r="KKD552"/>
      <c r="KKE552"/>
      <c r="KKF552"/>
      <c r="KKG552"/>
      <c r="KKH552"/>
      <c r="KKI552"/>
      <c r="KKJ552"/>
      <c r="KKK552"/>
      <c r="KKL552"/>
      <c r="KKM552"/>
      <c r="KKN552"/>
      <c r="KKO552"/>
      <c r="KKP552"/>
      <c r="KKQ552"/>
      <c r="KKR552"/>
      <c r="KKS552"/>
      <c r="KKT552"/>
      <c r="KKU552"/>
      <c r="KKV552"/>
      <c r="KKW552"/>
      <c r="KKX552"/>
      <c r="KKY552"/>
      <c r="KKZ552"/>
      <c r="KLA552"/>
      <c r="KLB552"/>
      <c r="KLC552"/>
      <c r="KLD552"/>
      <c r="KLE552"/>
      <c r="KLF552"/>
      <c r="KLG552"/>
      <c r="KLH552"/>
      <c r="KLI552"/>
      <c r="KLJ552"/>
      <c r="KLK552"/>
      <c r="KLL552"/>
      <c r="KLM552"/>
      <c r="KLN552"/>
      <c r="KLO552"/>
      <c r="KLP552"/>
      <c r="KLQ552"/>
      <c r="KLR552"/>
      <c r="KLS552"/>
      <c r="KLT552"/>
      <c r="KLU552"/>
      <c r="KLV552"/>
      <c r="KLW552"/>
      <c r="KLX552"/>
      <c r="KLY552"/>
      <c r="KLZ552"/>
      <c r="KMA552"/>
      <c r="KMB552"/>
      <c r="KMC552"/>
      <c r="KMD552"/>
      <c r="KME552"/>
      <c r="KMF552"/>
      <c r="KMG552"/>
      <c r="KMH552"/>
      <c r="KMI552"/>
      <c r="KMJ552"/>
      <c r="KMK552"/>
      <c r="KML552"/>
      <c r="KMM552"/>
      <c r="KMN552"/>
      <c r="KMO552"/>
      <c r="KMP552"/>
      <c r="KMQ552"/>
      <c r="KMR552"/>
      <c r="KMS552"/>
      <c r="KMT552"/>
      <c r="KMU552"/>
      <c r="KMV552"/>
      <c r="KMW552"/>
      <c r="KMX552"/>
      <c r="KMY552"/>
      <c r="KMZ552"/>
      <c r="KNA552"/>
      <c r="KNB552"/>
      <c r="KNC552"/>
      <c r="KND552"/>
      <c r="KNE552"/>
      <c r="KNF552"/>
      <c r="KNG552"/>
      <c r="KNH552"/>
      <c r="KNI552"/>
      <c r="KNJ552"/>
      <c r="KNK552"/>
      <c r="KNL552"/>
      <c r="KNM552"/>
      <c r="KNN552"/>
      <c r="KNO552"/>
      <c r="KNP552"/>
      <c r="KNQ552"/>
      <c r="KNR552"/>
      <c r="KNS552"/>
      <c r="KNT552"/>
      <c r="KNU552"/>
      <c r="KNV552"/>
      <c r="KNW552"/>
      <c r="KNX552"/>
      <c r="KNY552"/>
      <c r="KNZ552"/>
      <c r="KOA552"/>
      <c r="KOB552"/>
      <c r="KOC552"/>
      <c r="KOD552"/>
      <c r="KOE552"/>
      <c r="KOF552"/>
      <c r="KOG552"/>
      <c r="KOH552"/>
      <c r="KOI552"/>
      <c r="KOJ552"/>
      <c r="KOK552"/>
      <c r="KOL552"/>
      <c r="KOM552"/>
      <c r="KON552"/>
      <c r="KOO552"/>
      <c r="KOP552"/>
      <c r="KOQ552"/>
      <c r="KOR552"/>
      <c r="KOS552"/>
      <c r="KOT552"/>
      <c r="KOU552"/>
      <c r="KOV552"/>
      <c r="KOW552"/>
      <c r="KOX552"/>
      <c r="KOY552"/>
      <c r="KOZ552"/>
      <c r="KPA552"/>
      <c r="KPB552"/>
      <c r="KPC552"/>
      <c r="KPD552"/>
      <c r="KPE552"/>
      <c r="KPF552"/>
      <c r="KPG552"/>
      <c r="KPH552"/>
      <c r="KPI552"/>
      <c r="KPJ552"/>
      <c r="KPK552"/>
      <c r="KPL552"/>
      <c r="KPM552"/>
      <c r="KPN552"/>
      <c r="KPO552"/>
      <c r="KPP552"/>
      <c r="KPQ552"/>
      <c r="KPR552"/>
      <c r="KPS552"/>
      <c r="KPT552"/>
      <c r="KPU552"/>
      <c r="KPV552"/>
      <c r="KPW552"/>
      <c r="KPX552"/>
      <c r="KPY552"/>
      <c r="KPZ552"/>
      <c r="KQA552"/>
      <c r="KQB552"/>
      <c r="KQC552"/>
      <c r="KQD552"/>
      <c r="KQE552"/>
      <c r="KQF552"/>
      <c r="KQG552"/>
      <c r="KQH552"/>
      <c r="KQI552"/>
      <c r="KQJ552"/>
      <c r="KQK552"/>
      <c r="KQL552"/>
      <c r="KQM552"/>
      <c r="KQN552"/>
      <c r="KQO552"/>
      <c r="KQP552"/>
      <c r="KQQ552"/>
      <c r="KQR552"/>
      <c r="KQS552"/>
      <c r="KQT552"/>
      <c r="KQU552"/>
      <c r="KQV552"/>
      <c r="KQW552"/>
      <c r="KQX552"/>
      <c r="KQY552"/>
      <c r="KQZ552"/>
      <c r="KRA552"/>
      <c r="KRB552"/>
      <c r="KRC552"/>
      <c r="KRD552"/>
      <c r="KRE552"/>
      <c r="KRF552"/>
      <c r="KRG552"/>
      <c r="KRH552"/>
      <c r="KRI552"/>
      <c r="KRJ552"/>
      <c r="KRK552"/>
      <c r="KRL552"/>
      <c r="KRM552"/>
      <c r="KRN552"/>
      <c r="KRO552"/>
      <c r="KRP552"/>
      <c r="KRQ552"/>
      <c r="KRR552"/>
      <c r="KRS552"/>
      <c r="KRT552"/>
      <c r="KRU552"/>
      <c r="KRV552"/>
      <c r="KRW552"/>
      <c r="KRX552"/>
      <c r="KRY552"/>
      <c r="KRZ552"/>
      <c r="KSA552"/>
      <c r="KSB552"/>
      <c r="KSC552"/>
      <c r="KSD552"/>
      <c r="KSE552"/>
      <c r="KSF552"/>
      <c r="KSG552"/>
      <c r="KSH552"/>
      <c r="KSI552"/>
      <c r="KSJ552"/>
      <c r="KSK552"/>
      <c r="KSL552"/>
      <c r="KSM552"/>
      <c r="KSN552"/>
      <c r="KSO552"/>
      <c r="KSP552"/>
      <c r="KSQ552"/>
      <c r="KSR552"/>
      <c r="KSS552"/>
      <c r="KST552"/>
      <c r="KSU552"/>
      <c r="KSV552"/>
      <c r="KSW552"/>
      <c r="KSX552"/>
      <c r="KSY552"/>
      <c r="KSZ552"/>
      <c r="KTA552"/>
      <c r="KTB552"/>
      <c r="KTC552"/>
      <c r="KTD552"/>
      <c r="KTE552"/>
      <c r="KTF552"/>
      <c r="KTG552"/>
      <c r="KTH552"/>
      <c r="KTI552"/>
      <c r="KTJ552"/>
      <c r="KTK552"/>
      <c r="KTL552"/>
      <c r="KTM552"/>
      <c r="KTN552"/>
      <c r="KTO552"/>
      <c r="KTP552"/>
      <c r="KTQ552"/>
      <c r="KTR552"/>
      <c r="KTS552"/>
      <c r="KTT552"/>
      <c r="KTU552"/>
      <c r="KTV552"/>
      <c r="KTW552"/>
      <c r="KTX552"/>
      <c r="KTY552"/>
      <c r="KTZ552"/>
      <c r="KUA552"/>
      <c r="KUB552"/>
      <c r="KUC552"/>
      <c r="KUD552"/>
      <c r="KUE552"/>
      <c r="KUF552"/>
      <c r="KUG552"/>
      <c r="KUH552"/>
      <c r="KUI552"/>
      <c r="KUJ552"/>
      <c r="KUK552"/>
      <c r="KUL552"/>
      <c r="KUM552"/>
      <c r="KUN552"/>
      <c r="KUO552"/>
      <c r="KUP552"/>
      <c r="KUQ552"/>
      <c r="KUR552"/>
      <c r="KUS552"/>
      <c r="KUT552"/>
      <c r="KUU552"/>
      <c r="KUV552"/>
      <c r="KUW552"/>
      <c r="KUX552"/>
      <c r="KUY552"/>
      <c r="KUZ552"/>
      <c r="KVA552"/>
      <c r="KVB552"/>
      <c r="KVC552"/>
      <c r="KVD552"/>
      <c r="KVE552"/>
      <c r="KVF552"/>
      <c r="KVG552"/>
      <c r="KVH552"/>
      <c r="KVI552"/>
      <c r="KVJ552"/>
      <c r="KVK552"/>
      <c r="KVL552"/>
      <c r="KVM552"/>
      <c r="KVN552"/>
      <c r="KVO552"/>
      <c r="KVP552"/>
      <c r="KVQ552"/>
      <c r="KVR552"/>
      <c r="KVS552"/>
      <c r="KVT552"/>
      <c r="KVU552"/>
      <c r="KVV552"/>
      <c r="KVW552"/>
      <c r="KVX552"/>
      <c r="KVY552"/>
      <c r="KVZ552"/>
      <c r="KWA552"/>
      <c r="KWB552"/>
      <c r="KWC552"/>
      <c r="KWD552"/>
      <c r="KWE552"/>
      <c r="KWF552"/>
      <c r="KWG552"/>
      <c r="KWH552"/>
      <c r="KWI552"/>
      <c r="KWJ552"/>
      <c r="KWK552"/>
      <c r="KWL552"/>
      <c r="KWM552"/>
      <c r="KWN552"/>
      <c r="KWO552"/>
      <c r="KWP552"/>
      <c r="KWQ552"/>
      <c r="KWR552"/>
      <c r="KWS552"/>
      <c r="KWT552"/>
      <c r="KWU552"/>
      <c r="KWV552"/>
      <c r="KWW552"/>
      <c r="KWX552"/>
      <c r="KWY552"/>
      <c r="KWZ552"/>
      <c r="KXA552"/>
      <c r="KXB552"/>
      <c r="KXC552"/>
      <c r="KXD552"/>
      <c r="KXE552"/>
      <c r="KXF552"/>
      <c r="KXG552"/>
      <c r="KXH552"/>
      <c r="KXI552"/>
      <c r="KXJ552"/>
      <c r="KXK552"/>
      <c r="KXL552"/>
      <c r="KXM552"/>
      <c r="KXN552"/>
      <c r="KXO552"/>
      <c r="KXP552"/>
      <c r="KXQ552"/>
      <c r="KXR552"/>
      <c r="KXS552"/>
      <c r="KXT552"/>
      <c r="KXU552"/>
      <c r="KXV552"/>
      <c r="KXW552"/>
      <c r="KXX552"/>
      <c r="KXY552"/>
      <c r="KXZ552"/>
      <c r="KYA552"/>
      <c r="KYB552"/>
      <c r="KYC552"/>
      <c r="KYD552"/>
      <c r="KYE552"/>
      <c r="KYF552"/>
      <c r="KYG552"/>
      <c r="KYH552"/>
      <c r="KYI552"/>
      <c r="KYJ552"/>
      <c r="KYK552"/>
      <c r="KYL552"/>
      <c r="KYM552"/>
      <c r="KYN552"/>
      <c r="KYO552"/>
      <c r="KYP552"/>
      <c r="KYQ552"/>
      <c r="KYR552"/>
      <c r="KYS552"/>
      <c r="KYT552"/>
      <c r="KYU552"/>
      <c r="KYV552"/>
      <c r="KYW552"/>
      <c r="KYX552"/>
      <c r="KYY552"/>
      <c r="KYZ552"/>
      <c r="KZA552"/>
      <c r="KZB552"/>
      <c r="KZC552"/>
      <c r="KZD552"/>
      <c r="KZE552"/>
      <c r="KZF552"/>
      <c r="KZG552"/>
      <c r="KZH552"/>
      <c r="KZI552"/>
      <c r="KZJ552"/>
      <c r="KZK552"/>
      <c r="KZL552"/>
      <c r="KZM552"/>
      <c r="KZN552"/>
      <c r="KZO552"/>
      <c r="KZP552"/>
      <c r="KZQ552"/>
      <c r="KZR552"/>
      <c r="KZS552"/>
      <c r="KZT552"/>
      <c r="KZU552"/>
      <c r="KZV552"/>
      <c r="KZW552"/>
      <c r="KZX552"/>
      <c r="KZY552"/>
      <c r="KZZ552"/>
      <c r="LAA552"/>
      <c r="LAB552"/>
      <c r="LAC552"/>
      <c r="LAD552"/>
      <c r="LAE552"/>
      <c r="LAF552"/>
      <c r="LAG552"/>
      <c r="LAH552"/>
      <c r="LAI552"/>
      <c r="LAJ552"/>
      <c r="LAK552"/>
      <c r="LAL552"/>
      <c r="LAM552"/>
      <c r="LAN552"/>
      <c r="LAO552"/>
      <c r="LAP552"/>
      <c r="LAQ552"/>
      <c r="LAR552"/>
      <c r="LAS552"/>
      <c r="LAT552"/>
      <c r="LAU552"/>
      <c r="LAV552"/>
      <c r="LAW552"/>
      <c r="LAX552"/>
      <c r="LAY552"/>
      <c r="LAZ552"/>
      <c r="LBA552"/>
      <c r="LBB552"/>
      <c r="LBC552"/>
      <c r="LBD552"/>
      <c r="LBE552"/>
      <c r="LBF552"/>
      <c r="LBG552"/>
      <c r="LBH552"/>
      <c r="LBI552"/>
      <c r="LBJ552"/>
      <c r="LBK552"/>
      <c r="LBL552"/>
      <c r="LBM552"/>
      <c r="LBN552"/>
      <c r="LBO552"/>
      <c r="LBP552"/>
      <c r="LBQ552"/>
      <c r="LBR552"/>
      <c r="LBS552"/>
      <c r="LBT552"/>
      <c r="LBU552"/>
      <c r="LBV552"/>
      <c r="LBW552"/>
      <c r="LBX552"/>
      <c r="LBY552"/>
      <c r="LBZ552"/>
      <c r="LCA552"/>
      <c r="LCB552"/>
      <c r="LCC552"/>
      <c r="LCD552"/>
      <c r="LCE552"/>
      <c r="LCF552"/>
      <c r="LCG552"/>
      <c r="LCH552"/>
      <c r="LCI552"/>
      <c r="LCJ552"/>
      <c r="LCK552"/>
      <c r="LCL552"/>
      <c r="LCM552"/>
      <c r="LCN552"/>
      <c r="LCO552"/>
      <c r="LCP552"/>
      <c r="LCQ552"/>
      <c r="LCR552"/>
      <c r="LCS552"/>
      <c r="LCT552"/>
      <c r="LCU552"/>
      <c r="LCV552"/>
      <c r="LCW552"/>
      <c r="LCX552"/>
      <c r="LCY552"/>
      <c r="LCZ552"/>
      <c r="LDA552"/>
      <c r="LDB552"/>
      <c r="LDC552"/>
      <c r="LDD552"/>
      <c r="LDE552"/>
      <c r="LDF552"/>
      <c r="LDG552"/>
      <c r="LDH552"/>
      <c r="LDI552"/>
      <c r="LDJ552"/>
      <c r="LDK552"/>
      <c r="LDL552"/>
      <c r="LDM552"/>
      <c r="LDN552"/>
      <c r="LDO552"/>
      <c r="LDP552"/>
      <c r="LDQ552"/>
      <c r="LDR552"/>
      <c r="LDS552"/>
      <c r="LDT552"/>
      <c r="LDU552"/>
      <c r="LDV552"/>
      <c r="LDW552"/>
      <c r="LDX552"/>
      <c r="LDY552"/>
      <c r="LDZ552"/>
      <c r="LEA552"/>
      <c r="LEB552"/>
      <c r="LEC552"/>
      <c r="LED552"/>
      <c r="LEE552"/>
      <c r="LEF552"/>
      <c r="LEG552"/>
      <c r="LEH552"/>
      <c r="LEI552"/>
      <c r="LEJ552"/>
      <c r="LEK552"/>
      <c r="LEL552"/>
      <c r="LEM552"/>
      <c r="LEN552"/>
      <c r="LEO552"/>
      <c r="LEP552"/>
      <c r="LEQ552"/>
      <c r="LER552"/>
      <c r="LES552"/>
      <c r="LET552"/>
      <c r="LEU552"/>
      <c r="LEV552"/>
      <c r="LEW552"/>
      <c r="LEX552"/>
      <c r="LEY552"/>
      <c r="LEZ552"/>
      <c r="LFA552"/>
      <c r="LFB552"/>
      <c r="LFC552"/>
      <c r="LFD552"/>
      <c r="LFE552"/>
      <c r="LFF552"/>
      <c r="LFG552"/>
      <c r="LFH552"/>
      <c r="LFI552"/>
      <c r="LFJ552"/>
      <c r="LFK552"/>
      <c r="LFL552"/>
      <c r="LFM552"/>
      <c r="LFN552"/>
      <c r="LFO552"/>
      <c r="LFP552"/>
      <c r="LFQ552"/>
      <c r="LFR552"/>
      <c r="LFS552"/>
      <c r="LFT552"/>
      <c r="LFU552"/>
      <c r="LFV552"/>
      <c r="LFW552"/>
      <c r="LFX552"/>
      <c r="LFY552"/>
      <c r="LFZ552"/>
      <c r="LGA552"/>
      <c r="LGB552"/>
      <c r="LGC552"/>
      <c r="LGD552"/>
      <c r="LGE552"/>
      <c r="LGF552"/>
      <c r="LGG552"/>
      <c r="LGH552"/>
      <c r="LGI552"/>
      <c r="LGJ552"/>
      <c r="LGK552"/>
      <c r="LGL552"/>
      <c r="LGM552"/>
      <c r="LGN552"/>
      <c r="LGO552"/>
      <c r="LGP552"/>
      <c r="LGQ552"/>
      <c r="LGR552"/>
      <c r="LGS552"/>
      <c r="LGT552"/>
      <c r="LGU552"/>
      <c r="LGV552"/>
      <c r="LGW552"/>
      <c r="LGX552"/>
      <c r="LGY552"/>
      <c r="LGZ552"/>
      <c r="LHA552"/>
      <c r="LHB552"/>
      <c r="LHC552"/>
      <c r="LHD552"/>
      <c r="LHE552"/>
      <c r="LHF552"/>
      <c r="LHG552"/>
      <c r="LHH552"/>
      <c r="LHI552"/>
      <c r="LHJ552"/>
      <c r="LHK552"/>
      <c r="LHL552"/>
      <c r="LHM552"/>
      <c r="LHN552"/>
      <c r="LHO552"/>
      <c r="LHP552"/>
      <c r="LHQ552"/>
      <c r="LHR552"/>
      <c r="LHS552"/>
      <c r="LHT552"/>
      <c r="LHU552"/>
      <c r="LHV552"/>
      <c r="LHW552"/>
      <c r="LHX552"/>
      <c r="LHY552"/>
      <c r="LHZ552"/>
      <c r="LIA552"/>
      <c r="LIB552"/>
      <c r="LIC552"/>
      <c r="LID552"/>
      <c r="LIE552"/>
      <c r="LIF552"/>
      <c r="LIG552"/>
      <c r="LIH552"/>
      <c r="LII552"/>
      <c r="LIJ552"/>
      <c r="LIK552"/>
      <c r="LIL552"/>
      <c r="LIM552"/>
      <c r="LIN552"/>
      <c r="LIO552"/>
      <c r="LIP552"/>
      <c r="LIQ552"/>
      <c r="LIR552"/>
      <c r="LIS552"/>
      <c r="LIT552"/>
      <c r="LIU552"/>
      <c r="LIV552"/>
      <c r="LIW552"/>
      <c r="LIX552"/>
      <c r="LIY552"/>
      <c r="LIZ552"/>
      <c r="LJA552"/>
      <c r="LJB552"/>
      <c r="LJC552"/>
      <c r="LJD552"/>
      <c r="LJE552"/>
      <c r="LJF552"/>
      <c r="LJG552"/>
      <c r="LJH552"/>
      <c r="LJI552"/>
      <c r="LJJ552"/>
      <c r="LJK552"/>
      <c r="LJL552"/>
      <c r="LJM552"/>
      <c r="LJN552"/>
      <c r="LJO552"/>
      <c r="LJP552"/>
      <c r="LJQ552"/>
      <c r="LJR552"/>
      <c r="LJS552"/>
      <c r="LJT552"/>
      <c r="LJU552"/>
      <c r="LJV552"/>
      <c r="LJW552"/>
      <c r="LJX552"/>
      <c r="LJY552"/>
      <c r="LJZ552"/>
      <c r="LKA552"/>
      <c r="LKB552"/>
      <c r="LKC552"/>
      <c r="LKD552"/>
      <c r="LKE552"/>
      <c r="LKF552"/>
      <c r="LKG552"/>
      <c r="LKH552"/>
      <c r="LKI552"/>
      <c r="LKJ552"/>
      <c r="LKK552"/>
      <c r="LKL552"/>
      <c r="LKM552"/>
      <c r="LKN552"/>
      <c r="LKO552"/>
      <c r="LKP552"/>
      <c r="LKQ552"/>
      <c r="LKR552"/>
      <c r="LKS552"/>
      <c r="LKT552"/>
      <c r="LKU552"/>
      <c r="LKV552"/>
      <c r="LKW552"/>
      <c r="LKX552"/>
      <c r="LKY552"/>
      <c r="LKZ552"/>
      <c r="LLA552"/>
      <c r="LLB552"/>
      <c r="LLC552"/>
      <c r="LLD552"/>
      <c r="LLE552"/>
      <c r="LLF552"/>
      <c r="LLG552"/>
      <c r="LLH552"/>
      <c r="LLI552"/>
      <c r="LLJ552"/>
      <c r="LLK552"/>
      <c r="LLL552"/>
      <c r="LLM552"/>
      <c r="LLN552"/>
      <c r="LLO552"/>
      <c r="LLP552"/>
      <c r="LLQ552"/>
      <c r="LLR552"/>
      <c r="LLS552"/>
      <c r="LLT552"/>
      <c r="LLU552"/>
      <c r="LLV552"/>
      <c r="LLW552"/>
      <c r="LLX552"/>
      <c r="LLY552"/>
      <c r="LLZ552"/>
      <c r="LMA552"/>
      <c r="LMB552"/>
      <c r="LMC552"/>
      <c r="LMD552"/>
      <c r="LME552"/>
      <c r="LMF552"/>
      <c r="LMG552"/>
      <c r="LMH552"/>
      <c r="LMI552"/>
      <c r="LMJ552"/>
      <c r="LMK552"/>
      <c r="LML552"/>
      <c r="LMM552"/>
      <c r="LMN552"/>
      <c r="LMO552"/>
      <c r="LMP552"/>
      <c r="LMQ552"/>
      <c r="LMR552"/>
      <c r="LMS552"/>
      <c r="LMT552"/>
      <c r="LMU552"/>
      <c r="LMV552"/>
      <c r="LMW552"/>
      <c r="LMX552"/>
      <c r="LMY552"/>
      <c r="LMZ552"/>
      <c r="LNA552"/>
      <c r="LNB552"/>
      <c r="LNC552"/>
      <c r="LND552"/>
      <c r="LNE552"/>
      <c r="LNF552"/>
      <c r="LNG552"/>
      <c r="LNH552"/>
      <c r="LNI552"/>
      <c r="LNJ552"/>
      <c r="LNK552"/>
      <c r="LNL552"/>
      <c r="LNM552"/>
      <c r="LNN552"/>
      <c r="LNO552"/>
      <c r="LNP552"/>
      <c r="LNQ552"/>
      <c r="LNR552"/>
      <c r="LNS552"/>
      <c r="LNT552"/>
      <c r="LNU552"/>
      <c r="LNV552"/>
      <c r="LNW552"/>
      <c r="LNX552"/>
      <c r="LNY552"/>
      <c r="LNZ552"/>
      <c r="LOA552"/>
      <c r="LOB552"/>
      <c r="LOC552"/>
      <c r="LOD552"/>
      <c r="LOE552"/>
      <c r="LOF552"/>
      <c r="LOG552"/>
      <c r="LOH552"/>
      <c r="LOI552"/>
      <c r="LOJ552"/>
      <c r="LOK552"/>
      <c r="LOL552"/>
      <c r="LOM552"/>
      <c r="LON552"/>
      <c r="LOO552"/>
      <c r="LOP552"/>
      <c r="LOQ552"/>
      <c r="LOR552"/>
      <c r="LOS552"/>
      <c r="LOT552"/>
      <c r="LOU552"/>
      <c r="LOV552"/>
      <c r="LOW552"/>
      <c r="LOX552"/>
      <c r="LOY552"/>
      <c r="LOZ552"/>
      <c r="LPA552"/>
      <c r="LPB552"/>
      <c r="LPC552"/>
      <c r="LPD552"/>
      <c r="LPE552"/>
      <c r="LPF552"/>
      <c r="LPG552"/>
      <c r="LPH552"/>
      <c r="LPI552"/>
      <c r="LPJ552"/>
      <c r="LPK552"/>
      <c r="LPL552"/>
      <c r="LPM552"/>
      <c r="LPN552"/>
      <c r="LPO552"/>
      <c r="LPP552"/>
      <c r="LPQ552"/>
      <c r="LPR552"/>
      <c r="LPS552"/>
      <c r="LPT552"/>
      <c r="LPU552"/>
      <c r="LPV552"/>
      <c r="LPW552"/>
      <c r="LPX552"/>
      <c r="LPY552"/>
      <c r="LPZ552"/>
      <c r="LQA552"/>
      <c r="LQB552"/>
      <c r="LQC552"/>
      <c r="LQD552"/>
      <c r="LQE552"/>
      <c r="LQF552"/>
      <c r="LQG552"/>
      <c r="LQH552"/>
      <c r="LQI552"/>
      <c r="LQJ552"/>
      <c r="LQK552"/>
      <c r="LQL552"/>
      <c r="LQM552"/>
      <c r="LQN552"/>
      <c r="LQO552"/>
      <c r="LQP552"/>
      <c r="LQQ552"/>
      <c r="LQR552"/>
      <c r="LQS552"/>
      <c r="LQT552"/>
      <c r="LQU552"/>
      <c r="LQV552"/>
      <c r="LQW552"/>
      <c r="LQX552"/>
      <c r="LQY552"/>
      <c r="LQZ552"/>
      <c r="LRA552"/>
      <c r="LRB552"/>
      <c r="LRC552"/>
      <c r="LRD552"/>
      <c r="LRE552"/>
      <c r="LRF552"/>
      <c r="LRG552"/>
      <c r="LRH552"/>
      <c r="LRI552"/>
      <c r="LRJ552"/>
      <c r="LRK552"/>
      <c r="LRL552"/>
      <c r="LRM552"/>
      <c r="LRN552"/>
      <c r="LRO552"/>
      <c r="LRP552"/>
      <c r="LRQ552"/>
      <c r="LRR552"/>
      <c r="LRS552"/>
      <c r="LRT552"/>
      <c r="LRU552"/>
      <c r="LRV552"/>
      <c r="LRW552"/>
      <c r="LRX552"/>
      <c r="LRY552"/>
      <c r="LRZ552"/>
      <c r="LSA552"/>
      <c r="LSB552"/>
      <c r="LSC552"/>
      <c r="LSD552"/>
      <c r="LSE552"/>
      <c r="LSF552"/>
      <c r="LSG552"/>
      <c r="LSH552"/>
      <c r="LSI552"/>
      <c r="LSJ552"/>
      <c r="LSK552"/>
      <c r="LSL552"/>
      <c r="LSM552"/>
      <c r="LSN552"/>
      <c r="LSO552"/>
      <c r="LSP552"/>
      <c r="LSQ552"/>
      <c r="LSR552"/>
      <c r="LSS552"/>
      <c r="LST552"/>
      <c r="LSU552"/>
      <c r="LSV552"/>
      <c r="LSW552"/>
      <c r="LSX552"/>
      <c r="LSY552"/>
      <c r="LSZ552"/>
      <c r="LTA552"/>
      <c r="LTB552"/>
      <c r="LTC552"/>
      <c r="LTD552"/>
      <c r="LTE552"/>
      <c r="LTF552"/>
      <c r="LTG552"/>
      <c r="LTH552"/>
      <c r="LTI552"/>
      <c r="LTJ552"/>
      <c r="LTK552"/>
      <c r="LTL552"/>
      <c r="LTM552"/>
      <c r="LTN552"/>
      <c r="LTO552"/>
      <c r="LTP552"/>
      <c r="LTQ552"/>
      <c r="LTR552"/>
      <c r="LTS552"/>
      <c r="LTT552"/>
      <c r="LTU552"/>
      <c r="LTV552"/>
      <c r="LTW552"/>
      <c r="LTX552"/>
      <c r="LTY552"/>
      <c r="LTZ552"/>
      <c r="LUA552"/>
      <c r="LUB552"/>
      <c r="LUC552"/>
      <c r="LUD552"/>
      <c r="LUE552"/>
      <c r="LUF552"/>
      <c r="LUG552"/>
      <c r="LUH552"/>
      <c r="LUI552"/>
      <c r="LUJ552"/>
      <c r="LUK552"/>
      <c r="LUL552"/>
      <c r="LUM552"/>
      <c r="LUN552"/>
      <c r="LUO552"/>
      <c r="LUP552"/>
      <c r="LUQ552"/>
      <c r="LUR552"/>
      <c r="LUS552"/>
      <c r="LUT552"/>
      <c r="LUU552"/>
      <c r="LUV552"/>
      <c r="LUW552"/>
      <c r="LUX552"/>
      <c r="LUY552"/>
      <c r="LUZ552"/>
      <c r="LVA552"/>
      <c r="LVB552"/>
      <c r="LVC552"/>
      <c r="LVD552"/>
      <c r="LVE552"/>
      <c r="LVF552"/>
      <c r="LVG552"/>
      <c r="LVH552"/>
      <c r="LVI552"/>
      <c r="LVJ552"/>
      <c r="LVK552"/>
      <c r="LVL552"/>
      <c r="LVM552"/>
      <c r="LVN552"/>
      <c r="LVO552"/>
      <c r="LVP552"/>
      <c r="LVQ552"/>
      <c r="LVR552"/>
      <c r="LVS552"/>
      <c r="LVT552"/>
      <c r="LVU552"/>
      <c r="LVV552"/>
      <c r="LVW552"/>
      <c r="LVX552"/>
      <c r="LVY552"/>
      <c r="LVZ552"/>
      <c r="LWA552"/>
      <c r="LWB552"/>
      <c r="LWC552"/>
      <c r="LWD552"/>
      <c r="LWE552"/>
      <c r="LWF552"/>
      <c r="LWG552"/>
      <c r="LWH552"/>
      <c r="LWI552"/>
      <c r="LWJ552"/>
      <c r="LWK552"/>
      <c r="LWL552"/>
      <c r="LWM552"/>
      <c r="LWN552"/>
      <c r="LWO552"/>
      <c r="LWP552"/>
      <c r="LWQ552"/>
      <c r="LWR552"/>
      <c r="LWS552"/>
      <c r="LWT552"/>
      <c r="LWU552"/>
      <c r="LWV552"/>
      <c r="LWW552"/>
      <c r="LWX552"/>
      <c r="LWY552"/>
      <c r="LWZ552"/>
      <c r="LXA552"/>
      <c r="LXB552"/>
      <c r="LXC552"/>
      <c r="LXD552"/>
      <c r="LXE552"/>
      <c r="LXF552"/>
      <c r="LXG552"/>
      <c r="LXH552"/>
      <c r="LXI552"/>
      <c r="LXJ552"/>
      <c r="LXK552"/>
      <c r="LXL552"/>
      <c r="LXM552"/>
      <c r="LXN552"/>
      <c r="LXO552"/>
      <c r="LXP552"/>
      <c r="LXQ552"/>
      <c r="LXR552"/>
      <c r="LXS552"/>
      <c r="LXT552"/>
      <c r="LXU552"/>
      <c r="LXV552"/>
      <c r="LXW552"/>
      <c r="LXX552"/>
      <c r="LXY552"/>
      <c r="LXZ552"/>
      <c r="LYA552"/>
      <c r="LYB552"/>
      <c r="LYC552"/>
      <c r="LYD552"/>
      <c r="LYE552"/>
      <c r="LYF552"/>
      <c r="LYG552"/>
      <c r="LYH552"/>
      <c r="LYI552"/>
      <c r="LYJ552"/>
      <c r="LYK552"/>
      <c r="LYL552"/>
      <c r="LYM552"/>
      <c r="LYN552"/>
      <c r="LYO552"/>
      <c r="LYP552"/>
      <c r="LYQ552"/>
      <c r="LYR552"/>
      <c r="LYS552"/>
      <c r="LYT552"/>
      <c r="LYU552"/>
      <c r="LYV552"/>
      <c r="LYW552"/>
      <c r="LYX552"/>
      <c r="LYY552"/>
      <c r="LYZ552"/>
      <c r="LZA552"/>
      <c r="LZB552"/>
      <c r="LZC552"/>
      <c r="LZD552"/>
      <c r="LZE552"/>
      <c r="LZF552"/>
      <c r="LZG552"/>
      <c r="LZH552"/>
      <c r="LZI552"/>
      <c r="LZJ552"/>
      <c r="LZK552"/>
      <c r="LZL552"/>
      <c r="LZM552"/>
      <c r="LZN552"/>
      <c r="LZO552"/>
      <c r="LZP552"/>
      <c r="LZQ552"/>
      <c r="LZR552"/>
      <c r="LZS552"/>
      <c r="LZT552"/>
      <c r="LZU552"/>
      <c r="LZV552"/>
      <c r="LZW552"/>
      <c r="LZX552"/>
      <c r="LZY552"/>
      <c r="LZZ552"/>
      <c r="MAA552"/>
      <c r="MAB552"/>
      <c r="MAC552"/>
      <c r="MAD552"/>
      <c r="MAE552"/>
      <c r="MAF552"/>
      <c r="MAG552"/>
      <c r="MAH552"/>
      <c r="MAI552"/>
      <c r="MAJ552"/>
      <c r="MAK552"/>
      <c r="MAL552"/>
      <c r="MAM552"/>
      <c r="MAN552"/>
      <c r="MAO552"/>
      <c r="MAP552"/>
      <c r="MAQ552"/>
      <c r="MAR552"/>
      <c r="MAS552"/>
      <c r="MAT552"/>
      <c r="MAU552"/>
      <c r="MAV552"/>
      <c r="MAW552"/>
      <c r="MAX552"/>
      <c r="MAY552"/>
      <c r="MAZ552"/>
      <c r="MBA552"/>
      <c r="MBB552"/>
      <c r="MBC552"/>
      <c r="MBD552"/>
      <c r="MBE552"/>
      <c r="MBF552"/>
      <c r="MBG552"/>
      <c r="MBH552"/>
      <c r="MBI552"/>
      <c r="MBJ552"/>
      <c r="MBK552"/>
      <c r="MBL552"/>
      <c r="MBM552"/>
      <c r="MBN552"/>
      <c r="MBO552"/>
      <c r="MBP552"/>
      <c r="MBQ552"/>
      <c r="MBR552"/>
      <c r="MBS552"/>
      <c r="MBT552"/>
      <c r="MBU552"/>
      <c r="MBV552"/>
      <c r="MBW552"/>
      <c r="MBX552"/>
      <c r="MBY552"/>
      <c r="MBZ552"/>
      <c r="MCA552"/>
      <c r="MCB552"/>
      <c r="MCC552"/>
      <c r="MCD552"/>
      <c r="MCE552"/>
      <c r="MCF552"/>
      <c r="MCG552"/>
      <c r="MCH552"/>
      <c r="MCI552"/>
      <c r="MCJ552"/>
      <c r="MCK552"/>
      <c r="MCL552"/>
      <c r="MCM552"/>
      <c r="MCN552"/>
      <c r="MCO552"/>
      <c r="MCP552"/>
      <c r="MCQ552"/>
      <c r="MCR552"/>
      <c r="MCS552"/>
      <c r="MCT552"/>
      <c r="MCU552"/>
      <c r="MCV552"/>
      <c r="MCW552"/>
      <c r="MCX552"/>
      <c r="MCY552"/>
      <c r="MCZ552"/>
      <c r="MDA552"/>
      <c r="MDB552"/>
      <c r="MDC552"/>
      <c r="MDD552"/>
      <c r="MDE552"/>
      <c r="MDF552"/>
      <c r="MDG552"/>
      <c r="MDH552"/>
      <c r="MDI552"/>
      <c r="MDJ552"/>
      <c r="MDK552"/>
      <c r="MDL552"/>
      <c r="MDM552"/>
      <c r="MDN552"/>
      <c r="MDO552"/>
      <c r="MDP552"/>
      <c r="MDQ552"/>
      <c r="MDR552"/>
      <c r="MDS552"/>
      <c r="MDT552"/>
      <c r="MDU552"/>
      <c r="MDV552"/>
      <c r="MDW552"/>
      <c r="MDX552"/>
      <c r="MDY552"/>
      <c r="MDZ552"/>
      <c r="MEA552"/>
      <c r="MEB552"/>
      <c r="MEC552"/>
      <c r="MED552"/>
      <c r="MEE552"/>
      <c r="MEF552"/>
      <c r="MEG552"/>
      <c r="MEH552"/>
      <c r="MEI552"/>
      <c r="MEJ552"/>
      <c r="MEK552"/>
      <c r="MEL552"/>
      <c r="MEM552"/>
      <c r="MEN552"/>
      <c r="MEO552"/>
      <c r="MEP552"/>
      <c r="MEQ552"/>
      <c r="MER552"/>
      <c r="MES552"/>
      <c r="MET552"/>
      <c r="MEU552"/>
      <c r="MEV552"/>
      <c r="MEW552"/>
      <c r="MEX552"/>
      <c r="MEY552"/>
      <c r="MEZ552"/>
      <c r="MFA552"/>
      <c r="MFB552"/>
      <c r="MFC552"/>
      <c r="MFD552"/>
      <c r="MFE552"/>
      <c r="MFF552"/>
      <c r="MFG552"/>
      <c r="MFH552"/>
      <c r="MFI552"/>
      <c r="MFJ552"/>
      <c r="MFK552"/>
      <c r="MFL552"/>
      <c r="MFM552"/>
      <c r="MFN552"/>
      <c r="MFO552"/>
      <c r="MFP552"/>
      <c r="MFQ552"/>
      <c r="MFR552"/>
      <c r="MFS552"/>
      <c r="MFT552"/>
      <c r="MFU552"/>
      <c r="MFV552"/>
      <c r="MFW552"/>
      <c r="MFX552"/>
      <c r="MFY552"/>
      <c r="MFZ552"/>
      <c r="MGA552"/>
      <c r="MGB552"/>
      <c r="MGC552"/>
      <c r="MGD552"/>
      <c r="MGE552"/>
      <c r="MGF552"/>
      <c r="MGG552"/>
      <c r="MGH552"/>
      <c r="MGI552"/>
      <c r="MGJ552"/>
      <c r="MGK552"/>
      <c r="MGL552"/>
      <c r="MGM552"/>
      <c r="MGN552"/>
      <c r="MGO552"/>
      <c r="MGP552"/>
      <c r="MGQ552"/>
      <c r="MGR552"/>
      <c r="MGS552"/>
      <c r="MGT552"/>
      <c r="MGU552"/>
      <c r="MGV552"/>
      <c r="MGW552"/>
      <c r="MGX552"/>
      <c r="MGY552"/>
      <c r="MGZ552"/>
      <c r="MHA552"/>
      <c r="MHB552"/>
      <c r="MHC552"/>
      <c r="MHD552"/>
      <c r="MHE552"/>
      <c r="MHF552"/>
      <c r="MHG552"/>
      <c r="MHH552"/>
      <c r="MHI552"/>
      <c r="MHJ552"/>
      <c r="MHK552"/>
      <c r="MHL552"/>
      <c r="MHM552"/>
      <c r="MHN552"/>
      <c r="MHO552"/>
      <c r="MHP552"/>
      <c r="MHQ552"/>
      <c r="MHR552"/>
      <c r="MHS552"/>
      <c r="MHT552"/>
      <c r="MHU552"/>
      <c r="MHV552"/>
      <c r="MHW552"/>
      <c r="MHX552"/>
      <c r="MHY552"/>
      <c r="MHZ552"/>
      <c r="MIA552"/>
      <c r="MIB552"/>
      <c r="MIC552"/>
      <c r="MID552"/>
      <c r="MIE552"/>
      <c r="MIF552"/>
      <c r="MIG552"/>
      <c r="MIH552"/>
      <c r="MII552"/>
      <c r="MIJ552"/>
      <c r="MIK552"/>
      <c r="MIL552"/>
      <c r="MIM552"/>
      <c r="MIN552"/>
      <c r="MIO552"/>
      <c r="MIP552"/>
      <c r="MIQ552"/>
      <c r="MIR552"/>
      <c r="MIS552"/>
      <c r="MIT552"/>
      <c r="MIU552"/>
      <c r="MIV552"/>
      <c r="MIW552"/>
      <c r="MIX552"/>
      <c r="MIY552"/>
      <c r="MIZ552"/>
      <c r="MJA552"/>
      <c r="MJB552"/>
      <c r="MJC552"/>
      <c r="MJD552"/>
      <c r="MJE552"/>
      <c r="MJF552"/>
      <c r="MJG552"/>
      <c r="MJH552"/>
      <c r="MJI552"/>
      <c r="MJJ552"/>
      <c r="MJK552"/>
      <c r="MJL552"/>
      <c r="MJM552"/>
      <c r="MJN552"/>
      <c r="MJO552"/>
      <c r="MJP552"/>
      <c r="MJQ552"/>
      <c r="MJR552"/>
      <c r="MJS552"/>
      <c r="MJT552"/>
      <c r="MJU552"/>
      <c r="MJV552"/>
      <c r="MJW552"/>
      <c r="MJX552"/>
      <c r="MJY552"/>
      <c r="MJZ552"/>
      <c r="MKA552"/>
      <c r="MKB552"/>
      <c r="MKC552"/>
      <c r="MKD552"/>
      <c r="MKE552"/>
      <c r="MKF552"/>
      <c r="MKG552"/>
      <c r="MKH552"/>
      <c r="MKI552"/>
      <c r="MKJ552"/>
      <c r="MKK552"/>
      <c r="MKL552"/>
      <c r="MKM552"/>
      <c r="MKN552"/>
      <c r="MKO552"/>
      <c r="MKP552"/>
      <c r="MKQ552"/>
      <c r="MKR552"/>
      <c r="MKS552"/>
      <c r="MKT552"/>
      <c r="MKU552"/>
      <c r="MKV552"/>
      <c r="MKW552"/>
      <c r="MKX552"/>
      <c r="MKY552"/>
      <c r="MKZ552"/>
      <c r="MLA552"/>
      <c r="MLB552"/>
      <c r="MLC552"/>
      <c r="MLD552"/>
      <c r="MLE552"/>
      <c r="MLF552"/>
      <c r="MLG552"/>
      <c r="MLH552"/>
      <c r="MLI552"/>
      <c r="MLJ552"/>
      <c r="MLK552"/>
      <c r="MLL552"/>
      <c r="MLM552"/>
      <c r="MLN552"/>
      <c r="MLO552"/>
      <c r="MLP552"/>
      <c r="MLQ552"/>
      <c r="MLR552"/>
      <c r="MLS552"/>
      <c r="MLT552"/>
      <c r="MLU552"/>
      <c r="MLV552"/>
      <c r="MLW552"/>
      <c r="MLX552"/>
      <c r="MLY552"/>
      <c r="MLZ552"/>
      <c r="MMA552"/>
      <c r="MMB552"/>
      <c r="MMC552"/>
      <c r="MMD552"/>
      <c r="MME552"/>
      <c r="MMF552"/>
      <c r="MMG552"/>
      <c r="MMH552"/>
      <c r="MMI552"/>
      <c r="MMJ552"/>
      <c r="MMK552"/>
      <c r="MML552"/>
      <c r="MMM552"/>
      <c r="MMN552"/>
      <c r="MMO552"/>
      <c r="MMP552"/>
      <c r="MMQ552"/>
      <c r="MMR552"/>
      <c r="MMS552"/>
      <c r="MMT552"/>
      <c r="MMU552"/>
      <c r="MMV552"/>
      <c r="MMW552"/>
      <c r="MMX552"/>
      <c r="MMY552"/>
      <c r="MMZ552"/>
      <c r="MNA552"/>
      <c r="MNB552"/>
      <c r="MNC552"/>
      <c r="MND552"/>
      <c r="MNE552"/>
      <c r="MNF552"/>
      <c r="MNG552"/>
      <c r="MNH552"/>
      <c r="MNI552"/>
      <c r="MNJ552"/>
      <c r="MNK552"/>
      <c r="MNL552"/>
      <c r="MNM552"/>
      <c r="MNN552"/>
      <c r="MNO552"/>
      <c r="MNP552"/>
      <c r="MNQ552"/>
      <c r="MNR552"/>
      <c r="MNS552"/>
      <c r="MNT552"/>
      <c r="MNU552"/>
      <c r="MNV552"/>
      <c r="MNW552"/>
      <c r="MNX552"/>
      <c r="MNY552"/>
      <c r="MNZ552"/>
      <c r="MOA552"/>
      <c r="MOB552"/>
      <c r="MOC552"/>
      <c r="MOD552"/>
      <c r="MOE552"/>
      <c r="MOF552"/>
      <c r="MOG552"/>
      <c r="MOH552"/>
      <c r="MOI552"/>
      <c r="MOJ552"/>
      <c r="MOK552"/>
      <c r="MOL552"/>
      <c r="MOM552"/>
      <c r="MON552"/>
      <c r="MOO552"/>
      <c r="MOP552"/>
      <c r="MOQ552"/>
      <c r="MOR552"/>
      <c r="MOS552"/>
      <c r="MOT552"/>
      <c r="MOU552"/>
      <c r="MOV552"/>
      <c r="MOW552"/>
      <c r="MOX552"/>
      <c r="MOY552"/>
      <c r="MOZ552"/>
      <c r="MPA552"/>
      <c r="MPB552"/>
      <c r="MPC552"/>
      <c r="MPD552"/>
      <c r="MPE552"/>
      <c r="MPF552"/>
      <c r="MPG552"/>
      <c r="MPH552"/>
      <c r="MPI552"/>
      <c r="MPJ552"/>
      <c r="MPK552"/>
      <c r="MPL552"/>
      <c r="MPM552"/>
      <c r="MPN552"/>
      <c r="MPO552"/>
      <c r="MPP552"/>
      <c r="MPQ552"/>
      <c r="MPR552"/>
      <c r="MPS552"/>
      <c r="MPT552"/>
      <c r="MPU552"/>
      <c r="MPV552"/>
      <c r="MPW552"/>
      <c r="MPX552"/>
      <c r="MPY552"/>
      <c r="MPZ552"/>
      <c r="MQA552"/>
      <c r="MQB552"/>
      <c r="MQC552"/>
      <c r="MQD552"/>
      <c r="MQE552"/>
      <c r="MQF552"/>
      <c r="MQG552"/>
      <c r="MQH552"/>
      <c r="MQI552"/>
      <c r="MQJ552"/>
      <c r="MQK552"/>
      <c r="MQL552"/>
      <c r="MQM552"/>
      <c r="MQN552"/>
      <c r="MQO552"/>
      <c r="MQP552"/>
      <c r="MQQ552"/>
      <c r="MQR552"/>
      <c r="MQS552"/>
      <c r="MQT552"/>
      <c r="MQU552"/>
      <c r="MQV552"/>
      <c r="MQW552"/>
      <c r="MQX552"/>
      <c r="MQY552"/>
      <c r="MQZ552"/>
      <c r="MRA552"/>
      <c r="MRB552"/>
      <c r="MRC552"/>
      <c r="MRD552"/>
      <c r="MRE552"/>
      <c r="MRF552"/>
      <c r="MRG552"/>
      <c r="MRH552"/>
      <c r="MRI552"/>
      <c r="MRJ552"/>
      <c r="MRK552"/>
      <c r="MRL552"/>
      <c r="MRM552"/>
      <c r="MRN552"/>
      <c r="MRO552"/>
      <c r="MRP552"/>
      <c r="MRQ552"/>
      <c r="MRR552"/>
      <c r="MRS552"/>
      <c r="MRT552"/>
      <c r="MRU552"/>
      <c r="MRV552"/>
      <c r="MRW552"/>
      <c r="MRX552"/>
      <c r="MRY552"/>
      <c r="MRZ552"/>
      <c r="MSA552"/>
      <c r="MSB552"/>
      <c r="MSC552"/>
      <c r="MSD552"/>
      <c r="MSE552"/>
      <c r="MSF552"/>
      <c r="MSG552"/>
      <c r="MSH552"/>
      <c r="MSI552"/>
      <c r="MSJ552"/>
      <c r="MSK552"/>
      <c r="MSL552"/>
      <c r="MSM552"/>
      <c r="MSN552"/>
      <c r="MSO552"/>
      <c r="MSP552"/>
      <c r="MSQ552"/>
      <c r="MSR552"/>
      <c r="MSS552"/>
      <c r="MST552"/>
      <c r="MSU552"/>
      <c r="MSV552"/>
      <c r="MSW552"/>
      <c r="MSX552"/>
      <c r="MSY552"/>
      <c r="MSZ552"/>
      <c r="MTA552"/>
      <c r="MTB552"/>
      <c r="MTC552"/>
      <c r="MTD552"/>
      <c r="MTE552"/>
      <c r="MTF552"/>
      <c r="MTG552"/>
      <c r="MTH552"/>
      <c r="MTI552"/>
      <c r="MTJ552"/>
      <c r="MTK552"/>
      <c r="MTL552"/>
      <c r="MTM552"/>
      <c r="MTN552"/>
      <c r="MTO552"/>
      <c r="MTP552"/>
      <c r="MTQ552"/>
      <c r="MTR552"/>
      <c r="MTS552"/>
      <c r="MTT552"/>
      <c r="MTU552"/>
      <c r="MTV552"/>
      <c r="MTW552"/>
      <c r="MTX552"/>
      <c r="MTY552"/>
      <c r="MTZ552"/>
      <c r="MUA552"/>
      <c r="MUB552"/>
      <c r="MUC552"/>
      <c r="MUD552"/>
      <c r="MUE552"/>
      <c r="MUF552"/>
      <c r="MUG552"/>
      <c r="MUH552"/>
      <c r="MUI552"/>
      <c r="MUJ552"/>
      <c r="MUK552"/>
      <c r="MUL552"/>
      <c r="MUM552"/>
      <c r="MUN552"/>
      <c r="MUO552"/>
      <c r="MUP552"/>
      <c r="MUQ552"/>
      <c r="MUR552"/>
      <c r="MUS552"/>
      <c r="MUT552"/>
      <c r="MUU552"/>
      <c r="MUV552"/>
      <c r="MUW552"/>
      <c r="MUX552"/>
      <c r="MUY552"/>
      <c r="MUZ552"/>
      <c r="MVA552"/>
      <c r="MVB552"/>
      <c r="MVC552"/>
      <c r="MVD552"/>
      <c r="MVE552"/>
      <c r="MVF552"/>
      <c r="MVG552"/>
      <c r="MVH552"/>
      <c r="MVI552"/>
      <c r="MVJ552"/>
      <c r="MVK552"/>
      <c r="MVL552"/>
      <c r="MVM552"/>
      <c r="MVN552"/>
      <c r="MVO552"/>
      <c r="MVP552"/>
      <c r="MVQ552"/>
      <c r="MVR552"/>
      <c r="MVS552"/>
      <c r="MVT552"/>
      <c r="MVU552"/>
      <c r="MVV552"/>
      <c r="MVW552"/>
      <c r="MVX552"/>
      <c r="MVY552"/>
      <c r="MVZ552"/>
      <c r="MWA552"/>
      <c r="MWB552"/>
      <c r="MWC552"/>
      <c r="MWD552"/>
      <c r="MWE552"/>
      <c r="MWF552"/>
      <c r="MWG552"/>
      <c r="MWH552"/>
      <c r="MWI552"/>
      <c r="MWJ552"/>
      <c r="MWK552"/>
      <c r="MWL552"/>
      <c r="MWM552"/>
      <c r="MWN552"/>
      <c r="MWO552"/>
      <c r="MWP552"/>
      <c r="MWQ552"/>
      <c r="MWR552"/>
      <c r="MWS552"/>
      <c r="MWT552"/>
      <c r="MWU552"/>
      <c r="MWV552"/>
      <c r="MWW552"/>
      <c r="MWX552"/>
      <c r="MWY552"/>
      <c r="MWZ552"/>
      <c r="MXA552"/>
      <c r="MXB552"/>
      <c r="MXC552"/>
      <c r="MXD552"/>
      <c r="MXE552"/>
      <c r="MXF552"/>
      <c r="MXG552"/>
      <c r="MXH552"/>
      <c r="MXI552"/>
      <c r="MXJ552"/>
      <c r="MXK552"/>
      <c r="MXL552"/>
      <c r="MXM552"/>
      <c r="MXN552"/>
      <c r="MXO552"/>
      <c r="MXP552"/>
      <c r="MXQ552"/>
      <c r="MXR552"/>
      <c r="MXS552"/>
      <c r="MXT552"/>
      <c r="MXU552"/>
      <c r="MXV552"/>
      <c r="MXW552"/>
      <c r="MXX552"/>
      <c r="MXY552"/>
      <c r="MXZ552"/>
      <c r="MYA552"/>
      <c r="MYB552"/>
      <c r="MYC552"/>
      <c r="MYD552"/>
      <c r="MYE552"/>
      <c r="MYF552"/>
      <c r="MYG552"/>
      <c r="MYH552"/>
      <c r="MYI552"/>
      <c r="MYJ552"/>
      <c r="MYK552"/>
      <c r="MYL552"/>
      <c r="MYM552"/>
      <c r="MYN552"/>
      <c r="MYO552"/>
      <c r="MYP552"/>
      <c r="MYQ552"/>
      <c r="MYR552"/>
      <c r="MYS552"/>
      <c r="MYT552"/>
      <c r="MYU552"/>
      <c r="MYV552"/>
      <c r="MYW552"/>
      <c r="MYX552"/>
      <c r="MYY552"/>
      <c r="MYZ552"/>
      <c r="MZA552"/>
      <c r="MZB552"/>
      <c r="MZC552"/>
      <c r="MZD552"/>
      <c r="MZE552"/>
      <c r="MZF552"/>
      <c r="MZG552"/>
      <c r="MZH552"/>
      <c r="MZI552"/>
      <c r="MZJ552"/>
      <c r="MZK552"/>
      <c r="MZL552"/>
      <c r="MZM552"/>
      <c r="MZN552"/>
      <c r="MZO552"/>
      <c r="MZP552"/>
      <c r="MZQ552"/>
      <c r="MZR552"/>
      <c r="MZS552"/>
      <c r="MZT552"/>
      <c r="MZU552"/>
      <c r="MZV552"/>
      <c r="MZW552"/>
      <c r="MZX552"/>
      <c r="MZY552"/>
      <c r="MZZ552"/>
      <c r="NAA552"/>
      <c r="NAB552"/>
      <c r="NAC552"/>
      <c r="NAD552"/>
      <c r="NAE552"/>
      <c r="NAF552"/>
      <c r="NAG552"/>
      <c r="NAH552"/>
      <c r="NAI552"/>
      <c r="NAJ552"/>
      <c r="NAK552"/>
      <c r="NAL552"/>
      <c r="NAM552"/>
      <c r="NAN552"/>
      <c r="NAO552"/>
      <c r="NAP552"/>
      <c r="NAQ552"/>
      <c r="NAR552"/>
      <c r="NAS552"/>
      <c r="NAT552"/>
      <c r="NAU552"/>
      <c r="NAV552"/>
      <c r="NAW552"/>
      <c r="NAX552"/>
      <c r="NAY552"/>
      <c r="NAZ552"/>
      <c r="NBA552"/>
      <c r="NBB552"/>
      <c r="NBC552"/>
      <c r="NBD552"/>
      <c r="NBE552"/>
      <c r="NBF552"/>
      <c r="NBG552"/>
      <c r="NBH552"/>
      <c r="NBI552"/>
      <c r="NBJ552"/>
      <c r="NBK552"/>
      <c r="NBL552"/>
      <c r="NBM552"/>
      <c r="NBN552"/>
      <c r="NBO552"/>
      <c r="NBP552"/>
      <c r="NBQ552"/>
      <c r="NBR552"/>
      <c r="NBS552"/>
      <c r="NBT552"/>
      <c r="NBU552"/>
      <c r="NBV552"/>
      <c r="NBW552"/>
      <c r="NBX552"/>
      <c r="NBY552"/>
      <c r="NBZ552"/>
      <c r="NCA552"/>
      <c r="NCB552"/>
      <c r="NCC552"/>
      <c r="NCD552"/>
      <c r="NCE552"/>
      <c r="NCF552"/>
      <c r="NCG552"/>
      <c r="NCH552"/>
      <c r="NCI552"/>
      <c r="NCJ552"/>
      <c r="NCK552"/>
      <c r="NCL552"/>
      <c r="NCM552"/>
      <c r="NCN552"/>
      <c r="NCO552"/>
      <c r="NCP552"/>
      <c r="NCQ552"/>
      <c r="NCR552"/>
      <c r="NCS552"/>
      <c r="NCT552"/>
      <c r="NCU552"/>
      <c r="NCV552"/>
      <c r="NCW552"/>
      <c r="NCX552"/>
      <c r="NCY552"/>
      <c r="NCZ552"/>
      <c r="NDA552"/>
      <c r="NDB552"/>
      <c r="NDC552"/>
      <c r="NDD552"/>
      <c r="NDE552"/>
      <c r="NDF552"/>
      <c r="NDG552"/>
      <c r="NDH552"/>
      <c r="NDI552"/>
      <c r="NDJ552"/>
      <c r="NDK552"/>
      <c r="NDL552"/>
      <c r="NDM552"/>
      <c r="NDN552"/>
      <c r="NDO552"/>
      <c r="NDP552"/>
      <c r="NDQ552"/>
      <c r="NDR552"/>
      <c r="NDS552"/>
      <c r="NDT552"/>
      <c r="NDU552"/>
      <c r="NDV552"/>
      <c r="NDW552"/>
      <c r="NDX552"/>
      <c r="NDY552"/>
      <c r="NDZ552"/>
      <c r="NEA552"/>
      <c r="NEB552"/>
      <c r="NEC552"/>
      <c r="NED552"/>
      <c r="NEE552"/>
      <c r="NEF552"/>
      <c r="NEG552"/>
      <c r="NEH552"/>
      <c r="NEI552"/>
      <c r="NEJ552"/>
      <c r="NEK552"/>
      <c r="NEL552"/>
      <c r="NEM552"/>
      <c r="NEN552"/>
      <c r="NEO552"/>
      <c r="NEP552"/>
      <c r="NEQ552"/>
      <c r="NER552"/>
      <c r="NES552"/>
      <c r="NET552"/>
      <c r="NEU552"/>
      <c r="NEV552"/>
      <c r="NEW552"/>
      <c r="NEX552"/>
      <c r="NEY552"/>
      <c r="NEZ552"/>
      <c r="NFA552"/>
      <c r="NFB552"/>
      <c r="NFC552"/>
      <c r="NFD552"/>
      <c r="NFE552"/>
      <c r="NFF552"/>
      <c r="NFG552"/>
      <c r="NFH552"/>
      <c r="NFI552"/>
      <c r="NFJ552"/>
      <c r="NFK552"/>
      <c r="NFL552"/>
      <c r="NFM552"/>
      <c r="NFN552"/>
      <c r="NFO552"/>
      <c r="NFP552"/>
      <c r="NFQ552"/>
      <c r="NFR552"/>
      <c r="NFS552"/>
      <c r="NFT552"/>
      <c r="NFU552"/>
      <c r="NFV552"/>
      <c r="NFW552"/>
      <c r="NFX552"/>
      <c r="NFY552"/>
      <c r="NFZ552"/>
      <c r="NGA552"/>
      <c r="NGB552"/>
      <c r="NGC552"/>
      <c r="NGD552"/>
      <c r="NGE552"/>
      <c r="NGF552"/>
      <c r="NGG552"/>
      <c r="NGH552"/>
      <c r="NGI552"/>
      <c r="NGJ552"/>
      <c r="NGK552"/>
      <c r="NGL552"/>
      <c r="NGM552"/>
      <c r="NGN552"/>
      <c r="NGO552"/>
      <c r="NGP552"/>
      <c r="NGQ552"/>
      <c r="NGR552"/>
      <c r="NGS552"/>
      <c r="NGT552"/>
      <c r="NGU552"/>
      <c r="NGV552"/>
      <c r="NGW552"/>
      <c r="NGX552"/>
      <c r="NGY552"/>
      <c r="NGZ552"/>
      <c r="NHA552"/>
      <c r="NHB552"/>
      <c r="NHC552"/>
      <c r="NHD552"/>
      <c r="NHE552"/>
      <c r="NHF552"/>
      <c r="NHG552"/>
      <c r="NHH552"/>
      <c r="NHI552"/>
      <c r="NHJ552"/>
      <c r="NHK552"/>
      <c r="NHL552"/>
      <c r="NHM552"/>
      <c r="NHN552"/>
      <c r="NHO552"/>
      <c r="NHP552"/>
      <c r="NHQ552"/>
      <c r="NHR552"/>
      <c r="NHS552"/>
      <c r="NHT552"/>
      <c r="NHU552"/>
      <c r="NHV552"/>
      <c r="NHW552"/>
      <c r="NHX552"/>
      <c r="NHY552"/>
      <c r="NHZ552"/>
      <c r="NIA552"/>
      <c r="NIB552"/>
      <c r="NIC552"/>
      <c r="NID552"/>
      <c r="NIE552"/>
      <c r="NIF552"/>
      <c r="NIG552"/>
      <c r="NIH552"/>
      <c r="NII552"/>
      <c r="NIJ552"/>
      <c r="NIK552"/>
      <c r="NIL552"/>
      <c r="NIM552"/>
      <c r="NIN552"/>
      <c r="NIO552"/>
      <c r="NIP552"/>
      <c r="NIQ552"/>
      <c r="NIR552"/>
      <c r="NIS552"/>
      <c r="NIT552"/>
      <c r="NIU552"/>
      <c r="NIV552"/>
      <c r="NIW552"/>
      <c r="NIX552"/>
      <c r="NIY552"/>
      <c r="NIZ552"/>
      <c r="NJA552"/>
      <c r="NJB552"/>
      <c r="NJC552"/>
      <c r="NJD552"/>
      <c r="NJE552"/>
      <c r="NJF552"/>
      <c r="NJG552"/>
      <c r="NJH552"/>
      <c r="NJI552"/>
      <c r="NJJ552"/>
      <c r="NJK552"/>
      <c r="NJL552"/>
      <c r="NJM552"/>
      <c r="NJN552"/>
      <c r="NJO552"/>
      <c r="NJP552"/>
      <c r="NJQ552"/>
      <c r="NJR552"/>
      <c r="NJS552"/>
      <c r="NJT552"/>
      <c r="NJU552"/>
      <c r="NJV552"/>
      <c r="NJW552"/>
      <c r="NJX552"/>
      <c r="NJY552"/>
      <c r="NJZ552"/>
      <c r="NKA552"/>
      <c r="NKB552"/>
      <c r="NKC552"/>
      <c r="NKD552"/>
      <c r="NKE552"/>
      <c r="NKF552"/>
      <c r="NKG552"/>
      <c r="NKH552"/>
      <c r="NKI552"/>
      <c r="NKJ552"/>
      <c r="NKK552"/>
      <c r="NKL552"/>
      <c r="NKM552"/>
      <c r="NKN552"/>
      <c r="NKO552"/>
      <c r="NKP552"/>
      <c r="NKQ552"/>
      <c r="NKR552"/>
      <c r="NKS552"/>
      <c r="NKT552"/>
      <c r="NKU552"/>
      <c r="NKV552"/>
      <c r="NKW552"/>
      <c r="NKX552"/>
      <c r="NKY552"/>
      <c r="NKZ552"/>
      <c r="NLA552"/>
      <c r="NLB552"/>
      <c r="NLC552"/>
      <c r="NLD552"/>
      <c r="NLE552"/>
      <c r="NLF552"/>
      <c r="NLG552"/>
      <c r="NLH552"/>
      <c r="NLI552"/>
      <c r="NLJ552"/>
      <c r="NLK552"/>
      <c r="NLL552"/>
      <c r="NLM552"/>
      <c r="NLN552"/>
      <c r="NLO552"/>
      <c r="NLP552"/>
      <c r="NLQ552"/>
      <c r="NLR552"/>
      <c r="NLS552"/>
      <c r="NLT552"/>
      <c r="NLU552"/>
      <c r="NLV552"/>
      <c r="NLW552"/>
      <c r="NLX552"/>
      <c r="NLY552"/>
      <c r="NLZ552"/>
      <c r="NMA552"/>
      <c r="NMB552"/>
      <c r="NMC552"/>
      <c r="NMD552"/>
      <c r="NME552"/>
      <c r="NMF552"/>
      <c r="NMG552"/>
      <c r="NMH552"/>
      <c r="NMI552"/>
      <c r="NMJ552"/>
      <c r="NMK552"/>
      <c r="NML552"/>
      <c r="NMM552"/>
      <c r="NMN552"/>
      <c r="NMO552"/>
      <c r="NMP552"/>
      <c r="NMQ552"/>
      <c r="NMR552"/>
      <c r="NMS552"/>
      <c r="NMT552"/>
      <c r="NMU552"/>
      <c r="NMV552"/>
      <c r="NMW552"/>
      <c r="NMX552"/>
      <c r="NMY552"/>
      <c r="NMZ552"/>
      <c r="NNA552"/>
      <c r="NNB552"/>
      <c r="NNC552"/>
      <c r="NND552"/>
      <c r="NNE552"/>
      <c r="NNF552"/>
      <c r="NNG552"/>
      <c r="NNH552"/>
      <c r="NNI552"/>
      <c r="NNJ552"/>
      <c r="NNK552"/>
      <c r="NNL552"/>
      <c r="NNM552"/>
      <c r="NNN552"/>
      <c r="NNO552"/>
      <c r="NNP552"/>
      <c r="NNQ552"/>
      <c r="NNR552"/>
      <c r="NNS552"/>
      <c r="NNT552"/>
      <c r="NNU552"/>
      <c r="NNV552"/>
      <c r="NNW552"/>
      <c r="NNX552"/>
      <c r="NNY552"/>
      <c r="NNZ552"/>
      <c r="NOA552"/>
      <c r="NOB552"/>
      <c r="NOC552"/>
      <c r="NOD552"/>
      <c r="NOE552"/>
      <c r="NOF552"/>
      <c r="NOG552"/>
      <c r="NOH552"/>
      <c r="NOI552"/>
      <c r="NOJ552"/>
      <c r="NOK552"/>
      <c r="NOL552"/>
      <c r="NOM552"/>
      <c r="NON552"/>
      <c r="NOO552"/>
      <c r="NOP552"/>
      <c r="NOQ552"/>
      <c r="NOR552"/>
      <c r="NOS552"/>
      <c r="NOT552"/>
      <c r="NOU552"/>
      <c r="NOV552"/>
      <c r="NOW552"/>
      <c r="NOX552"/>
      <c r="NOY552"/>
      <c r="NOZ552"/>
      <c r="NPA552"/>
      <c r="NPB552"/>
      <c r="NPC552"/>
      <c r="NPD552"/>
      <c r="NPE552"/>
      <c r="NPF552"/>
      <c r="NPG552"/>
      <c r="NPH552"/>
      <c r="NPI552"/>
      <c r="NPJ552"/>
      <c r="NPK552"/>
      <c r="NPL552"/>
      <c r="NPM552"/>
      <c r="NPN552"/>
      <c r="NPO552"/>
      <c r="NPP552"/>
      <c r="NPQ552"/>
      <c r="NPR552"/>
      <c r="NPS552"/>
      <c r="NPT552"/>
      <c r="NPU552"/>
      <c r="NPV552"/>
      <c r="NPW552"/>
      <c r="NPX552"/>
      <c r="NPY552"/>
      <c r="NPZ552"/>
      <c r="NQA552"/>
      <c r="NQB552"/>
      <c r="NQC552"/>
      <c r="NQD552"/>
      <c r="NQE552"/>
      <c r="NQF552"/>
      <c r="NQG552"/>
      <c r="NQH552"/>
      <c r="NQI552"/>
      <c r="NQJ552"/>
      <c r="NQK552"/>
      <c r="NQL552"/>
      <c r="NQM552"/>
      <c r="NQN552"/>
      <c r="NQO552"/>
      <c r="NQP552"/>
      <c r="NQQ552"/>
      <c r="NQR552"/>
      <c r="NQS552"/>
      <c r="NQT552"/>
      <c r="NQU552"/>
      <c r="NQV552"/>
      <c r="NQW552"/>
      <c r="NQX552"/>
      <c r="NQY552"/>
      <c r="NQZ552"/>
      <c r="NRA552"/>
      <c r="NRB552"/>
      <c r="NRC552"/>
      <c r="NRD552"/>
      <c r="NRE552"/>
      <c r="NRF552"/>
      <c r="NRG552"/>
      <c r="NRH552"/>
      <c r="NRI552"/>
      <c r="NRJ552"/>
      <c r="NRK552"/>
      <c r="NRL552"/>
      <c r="NRM552"/>
      <c r="NRN552"/>
      <c r="NRO552"/>
      <c r="NRP552"/>
      <c r="NRQ552"/>
      <c r="NRR552"/>
      <c r="NRS552"/>
      <c r="NRT552"/>
      <c r="NRU552"/>
      <c r="NRV552"/>
      <c r="NRW552"/>
      <c r="NRX552"/>
      <c r="NRY552"/>
      <c r="NRZ552"/>
      <c r="NSA552"/>
      <c r="NSB552"/>
      <c r="NSC552"/>
      <c r="NSD552"/>
      <c r="NSE552"/>
      <c r="NSF552"/>
      <c r="NSG552"/>
      <c r="NSH552"/>
      <c r="NSI552"/>
      <c r="NSJ552"/>
      <c r="NSK552"/>
      <c r="NSL552"/>
      <c r="NSM552"/>
      <c r="NSN552"/>
      <c r="NSO552"/>
      <c r="NSP552"/>
      <c r="NSQ552"/>
      <c r="NSR552"/>
      <c r="NSS552"/>
      <c r="NST552"/>
      <c r="NSU552"/>
      <c r="NSV552"/>
      <c r="NSW552"/>
      <c r="NSX552"/>
      <c r="NSY552"/>
      <c r="NSZ552"/>
      <c r="NTA552"/>
      <c r="NTB552"/>
      <c r="NTC552"/>
      <c r="NTD552"/>
      <c r="NTE552"/>
      <c r="NTF552"/>
      <c r="NTG552"/>
      <c r="NTH552"/>
      <c r="NTI552"/>
      <c r="NTJ552"/>
      <c r="NTK552"/>
      <c r="NTL552"/>
      <c r="NTM552"/>
      <c r="NTN552"/>
      <c r="NTO552"/>
      <c r="NTP552"/>
      <c r="NTQ552"/>
      <c r="NTR552"/>
      <c r="NTS552"/>
      <c r="NTT552"/>
      <c r="NTU552"/>
      <c r="NTV552"/>
      <c r="NTW552"/>
      <c r="NTX552"/>
      <c r="NTY552"/>
      <c r="NTZ552"/>
      <c r="NUA552"/>
      <c r="NUB552"/>
      <c r="NUC552"/>
      <c r="NUD552"/>
      <c r="NUE552"/>
      <c r="NUF552"/>
      <c r="NUG552"/>
      <c r="NUH552"/>
      <c r="NUI552"/>
      <c r="NUJ552"/>
      <c r="NUK552"/>
      <c r="NUL552"/>
      <c r="NUM552"/>
      <c r="NUN552"/>
      <c r="NUO552"/>
      <c r="NUP552"/>
      <c r="NUQ552"/>
      <c r="NUR552"/>
      <c r="NUS552"/>
      <c r="NUT552"/>
      <c r="NUU552"/>
      <c r="NUV552"/>
      <c r="NUW552"/>
      <c r="NUX552"/>
      <c r="NUY552"/>
      <c r="NUZ552"/>
      <c r="NVA552"/>
      <c r="NVB552"/>
      <c r="NVC552"/>
      <c r="NVD552"/>
      <c r="NVE552"/>
      <c r="NVF552"/>
      <c r="NVG552"/>
      <c r="NVH552"/>
      <c r="NVI552"/>
      <c r="NVJ552"/>
      <c r="NVK552"/>
      <c r="NVL552"/>
      <c r="NVM552"/>
      <c r="NVN552"/>
      <c r="NVO552"/>
      <c r="NVP552"/>
      <c r="NVQ552"/>
      <c r="NVR552"/>
      <c r="NVS552"/>
      <c r="NVT552"/>
      <c r="NVU552"/>
      <c r="NVV552"/>
      <c r="NVW552"/>
      <c r="NVX552"/>
      <c r="NVY552"/>
      <c r="NVZ552"/>
      <c r="NWA552"/>
      <c r="NWB552"/>
      <c r="NWC552"/>
      <c r="NWD552"/>
      <c r="NWE552"/>
      <c r="NWF552"/>
      <c r="NWG552"/>
      <c r="NWH552"/>
      <c r="NWI552"/>
      <c r="NWJ552"/>
      <c r="NWK552"/>
      <c r="NWL552"/>
      <c r="NWM552"/>
      <c r="NWN552"/>
      <c r="NWO552"/>
      <c r="NWP552"/>
      <c r="NWQ552"/>
      <c r="NWR552"/>
      <c r="NWS552"/>
      <c r="NWT552"/>
      <c r="NWU552"/>
      <c r="NWV552"/>
      <c r="NWW552"/>
      <c r="NWX552"/>
      <c r="NWY552"/>
      <c r="NWZ552"/>
      <c r="NXA552"/>
      <c r="NXB552"/>
      <c r="NXC552"/>
      <c r="NXD552"/>
      <c r="NXE552"/>
      <c r="NXF552"/>
      <c r="NXG552"/>
      <c r="NXH552"/>
      <c r="NXI552"/>
      <c r="NXJ552"/>
      <c r="NXK552"/>
      <c r="NXL552"/>
      <c r="NXM552"/>
      <c r="NXN552"/>
      <c r="NXO552"/>
      <c r="NXP552"/>
      <c r="NXQ552"/>
      <c r="NXR552"/>
      <c r="NXS552"/>
      <c r="NXT552"/>
      <c r="NXU552"/>
      <c r="NXV552"/>
      <c r="NXW552"/>
      <c r="NXX552"/>
      <c r="NXY552"/>
      <c r="NXZ552"/>
      <c r="NYA552"/>
      <c r="NYB552"/>
      <c r="NYC552"/>
      <c r="NYD552"/>
      <c r="NYE552"/>
      <c r="NYF552"/>
      <c r="NYG552"/>
      <c r="NYH552"/>
      <c r="NYI552"/>
      <c r="NYJ552"/>
      <c r="NYK552"/>
      <c r="NYL552"/>
      <c r="NYM552"/>
      <c r="NYN552"/>
      <c r="NYO552"/>
      <c r="NYP552"/>
      <c r="NYQ552"/>
      <c r="NYR552"/>
      <c r="NYS552"/>
      <c r="NYT552"/>
      <c r="NYU552"/>
      <c r="NYV552"/>
      <c r="NYW552"/>
      <c r="NYX552"/>
      <c r="NYY552"/>
      <c r="NYZ552"/>
      <c r="NZA552"/>
      <c r="NZB552"/>
      <c r="NZC552"/>
      <c r="NZD552"/>
      <c r="NZE552"/>
      <c r="NZF552"/>
      <c r="NZG552"/>
      <c r="NZH552"/>
      <c r="NZI552"/>
      <c r="NZJ552"/>
      <c r="NZK552"/>
      <c r="NZL552"/>
      <c r="NZM552"/>
      <c r="NZN552"/>
      <c r="NZO552"/>
      <c r="NZP552"/>
      <c r="NZQ552"/>
      <c r="NZR552"/>
      <c r="NZS552"/>
      <c r="NZT552"/>
      <c r="NZU552"/>
      <c r="NZV552"/>
      <c r="NZW552"/>
      <c r="NZX552"/>
      <c r="NZY552"/>
      <c r="NZZ552"/>
      <c r="OAA552"/>
      <c r="OAB552"/>
      <c r="OAC552"/>
      <c r="OAD552"/>
      <c r="OAE552"/>
      <c r="OAF552"/>
      <c r="OAG552"/>
      <c r="OAH552"/>
      <c r="OAI552"/>
      <c r="OAJ552"/>
      <c r="OAK552"/>
      <c r="OAL552"/>
      <c r="OAM552"/>
      <c r="OAN552"/>
      <c r="OAO552"/>
      <c r="OAP552"/>
      <c r="OAQ552"/>
      <c r="OAR552"/>
      <c r="OAS552"/>
      <c r="OAT552"/>
      <c r="OAU552"/>
      <c r="OAV552"/>
      <c r="OAW552"/>
      <c r="OAX552"/>
      <c r="OAY552"/>
      <c r="OAZ552"/>
      <c r="OBA552"/>
      <c r="OBB552"/>
      <c r="OBC552"/>
      <c r="OBD552"/>
      <c r="OBE552"/>
      <c r="OBF552"/>
      <c r="OBG552"/>
      <c r="OBH552"/>
      <c r="OBI552"/>
      <c r="OBJ552"/>
      <c r="OBK552"/>
      <c r="OBL552"/>
      <c r="OBM552"/>
      <c r="OBN552"/>
      <c r="OBO552"/>
      <c r="OBP552"/>
      <c r="OBQ552"/>
      <c r="OBR552"/>
      <c r="OBS552"/>
      <c r="OBT552"/>
      <c r="OBU552"/>
      <c r="OBV552"/>
      <c r="OBW552"/>
      <c r="OBX552"/>
      <c r="OBY552"/>
      <c r="OBZ552"/>
      <c r="OCA552"/>
      <c r="OCB552"/>
      <c r="OCC552"/>
      <c r="OCD552"/>
      <c r="OCE552"/>
      <c r="OCF552"/>
      <c r="OCG552"/>
      <c r="OCH552"/>
      <c r="OCI552"/>
      <c r="OCJ552"/>
      <c r="OCK552"/>
      <c r="OCL552"/>
      <c r="OCM552"/>
      <c r="OCN552"/>
      <c r="OCO552"/>
      <c r="OCP552"/>
      <c r="OCQ552"/>
      <c r="OCR552"/>
      <c r="OCS552"/>
      <c r="OCT552"/>
      <c r="OCU552"/>
      <c r="OCV552"/>
      <c r="OCW552"/>
      <c r="OCX552"/>
      <c r="OCY552"/>
      <c r="OCZ552"/>
      <c r="ODA552"/>
      <c r="ODB552"/>
      <c r="ODC552"/>
      <c r="ODD552"/>
      <c r="ODE552"/>
      <c r="ODF552"/>
      <c r="ODG552"/>
      <c r="ODH552"/>
      <c r="ODI552"/>
      <c r="ODJ552"/>
      <c r="ODK552"/>
      <c r="ODL552"/>
      <c r="ODM552"/>
      <c r="ODN552"/>
      <c r="ODO552"/>
      <c r="ODP552"/>
      <c r="ODQ552"/>
      <c r="ODR552"/>
      <c r="ODS552"/>
      <c r="ODT552"/>
      <c r="ODU552"/>
      <c r="ODV552"/>
      <c r="ODW552"/>
      <c r="ODX552"/>
      <c r="ODY552"/>
      <c r="ODZ552"/>
      <c r="OEA552"/>
      <c r="OEB552"/>
      <c r="OEC552"/>
      <c r="OED552"/>
      <c r="OEE552"/>
      <c r="OEF552"/>
      <c r="OEG552"/>
      <c r="OEH552"/>
      <c r="OEI552"/>
      <c r="OEJ552"/>
      <c r="OEK552"/>
      <c r="OEL552"/>
      <c r="OEM552"/>
      <c r="OEN552"/>
      <c r="OEO552"/>
      <c r="OEP552"/>
      <c r="OEQ552"/>
      <c r="OER552"/>
      <c r="OES552"/>
      <c r="OET552"/>
      <c r="OEU552"/>
      <c r="OEV552"/>
      <c r="OEW552"/>
      <c r="OEX552"/>
      <c r="OEY552"/>
      <c r="OEZ552"/>
      <c r="OFA552"/>
      <c r="OFB552"/>
      <c r="OFC552"/>
      <c r="OFD552"/>
      <c r="OFE552"/>
      <c r="OFF552"/>
      <c r="OFG552"/>
      <c r="OFH552"/>
      <c r="OFI552"/>
      <c r="OFJ552"/>
      <c r="OFK552"/>
      <c r="OFL552"/>
      <c r="OFM552"/>
      <c r="OFN552"/>
      <c r="OFO552"/>
      <c r="OFP552"/>
      <c r="OFQ552"/>
      <c r="OFR552"/>
      <c r="OFS552"/>
      <c r="OFT552"/>
      <c r="OFU552"/>
      <c r="OFV552"/>
      <c r="OFW552"/>
      <c r="OFX552"/>
      <c r="OFY552"/>
      <c r="OFZ552"/>
      <c r="OGA552"/>
      <c r="OGB552"/>
      <c r="OGC552"/>
      <c r="OGD552"/>
      <c r="OGE552"/>
      <c r="OGF552"/>
      <c r="OGG552"/>
      <c r="OGH552"/>
      <c r="OGI552"/>
      <c r="OGJ552"/>
      <c r="OGK552"/>
      <c r="OGL552"/>
      <c r="OGM552"/>
      <c r="OGN552"/>
      <c r="OGO552"/>
      <c r="OGP552"/>
      <c r="OGQ552"/>
      <c r="OGR552"/>
      <c r="OGS552"/>
      <c r="OGT552"/>
      <c r="OGU552"/>
      <c r="OGV552"/>
      <c r="OGW552"/>
      <c r="OGX552"/>
      <c r="OGY552"/>
      <c r="OGZ552"/>
      <c r="OHA552"/>
      <c r="OHB552"/>
      <c r="OHC552"/>
      <c r="OHD552"/>
      <c r="OHE552"/>
      <c r="OHF552"/>
      <c r="OHG552"/>
      <c r="OHH552"/>
      <c r="OHI552"/>
      <c r="OHJ552"/>
      <c r="OHK552"/>
      <c r="OHL552"/>
      <c r="OHM552"/>
      <c r="OHN552"/>
      <c r="OHO552"/>
      <c r="OHP552"/>
      <c r="OHQ552"/>
      <c r="OHR552"/>
      <c r="OHS552"/>
      <c r="OHT552"/>
      <c r="OHU552"/>
      <c r="OHV552"/>
      <c r="OHW552"/>
      <c r="OHX552"/>
      <c r="OHY552"/>
      <c r="OHZ552"/>
      <c r="OIA552"/>
      <c r="OIB552"/>
      <c r="OIC552"/>
      <c r="OID552"/>
      <c r="OIE552"/>
      <c r="OIF552"/>
      <c r="OIG552"/>
      <c r="OIH552"/>
      <c r="OII552"/>
      <c r="OIJ552"/>
      <c r="OIK552"/>
      <c r="OIL552"/>
      <c r="OIM552"/>
      <c r="OIN552"/>
      <c r="OIO552"/>
      <c r="OIP552"/>
      <c r="OIQ552"/>
      <c r="OIR552"/>
      <c r="OIS552"/>
      <c r="OIT552"/>
      <c r="OIU552"/>
      <c r="OIV552"/>
      <c r="OIW552"/>
      <c r="OIX552"/>
      <c r="OIY552"/>
      <c r="OIZ552"/>
      <c r="OJA552"/>
      <c r="OJB552"/>
      <c r="OJC552"/>
      <c r="OJD552"/>
      <c r="OJE552"/>
      <c r="OJF552"/>
      <c r="OJG552"/>
      <c r="OJH552"/>
      <c r="OJI552"/>
      <c r="OJJ552"/>
      <c r="OJK552"/>
      <c r="OJL552"/>
      <c r="OJM552"/>
      <c r="OJN552"/>
      <c r="OJO552"/>
      <c r="OJP552"/>
      <c r="OJQ552"/>
      <c r="OJR552"/>
      <c r="OJS552"/>
      <c r="OJT552"/>
      <c r="OJU552"/>
      <c r="OJV552"/>
      <c r="OJW552"/>
      <c r="OJX552"/>
      <c r="OJY552"/>
      <c r="OJZ552"/>
      <c r="OKA552"/>
      <c r="OKB552"/>
      <c r="OKC552"/>
      <c r="OKD552"/>
      <c r="OKE552"/>
      <c r="OKF552"/>
      <c r="OKG552"/>
      <c r="OKH552"/>
      <c r="OKI552"/>
      <c r="OKJ552"/>
      <c r="OKK552"/>
      <c r="OKL552"/>
      <c r="OKM552"/>
      <c r="OKN552"/>
      <c r="OKO552"/>
      <c r="OKP552"/>
      <c r="OKQ552"/>
      <c r="OKR552"/>
      <c r="OKS552"/>
      <c r="OKT552"/>
      <c r="OKU552"/>
      <c r="OKV552"/>
      <c r="OKW552"/>
      <c r="OKX552"/>
      <c r="OKY552"/>
      <c r="OKZ552"/>
      <c r="OLA552"/>
      <c r="OLB552"/>
      <c r="OLC552"/>
      <c r="OLD552"/>
      <c r="OLE552"/>
      <c r="OLF552"/>
      <c r="OLG552"/>
      <c r="OLH552"/>
      <c r="OLI552"/>
      <c r="OLJ552"/>
      <c r="OLK552"/>
      <c r="OLL552"/>
      <c r="OLM552"/>
      <c r="OLN552"/>
      <c r="OLO552"/>
      <c r="OLP552"/>
      <c r="OLQ552"/>
      <c r="OLR552"/>
      <c r="OLS552"/>
      <c r="OLT552"/>
      <c r="OLU552"/>
      <c r="OLV552"/>
      <c r="OLW552"/>
      <c r="OLX552"/>
      <c r="OLY552"/>
      <c r="OLZ552"/>
      <c r="OMA552"/>
      <c r="OMB552"/>
      <c r="OMC552"/>
      <c r="OMD552"/>
      <c r="OME552"/>
      <c r="OMF552"/>
      <c r="OMG552"/>
      <c r="OMH552"/>
      <c r="OMI552"/>
      <c r="OMJ552"/>
      <c r="OMK552"/>
      <c r="OML552"/>
      <c r="OMM552"/>
      <c r="OMN552"/>
      <c r="OMO552"/>
      <c r="OMP552"/>
      <c r="OMQ552"/>
      <c r="OMR552"/>
      <c r="OMS552"/>
      <c r="OMT552"/>
      <c r="OMU552"/>
      <c r="OMV552"/>
      <c r="OMW552"/>
      <c r="OMX552"/>
      <c r="OMY552"/>
      <c r="OMZ552"/>
      <c r="ONA552"/>
      <c r="ONB552"/>
      <c r="ONC552"/>
      <c r="OND552"/>
      <c r="ONE552"/>
      <c r="ONF552"/>
      <c r="ONG552"/>
      <c r="ONH552"/>
      <c r="ONI552"/>
      <c r="ONJ552"/>
      <c r="ONK552"/>
      <c r="ONL552"/>
      <c r="ONM552"/>
      <c r="ONN552"/>
      <c r="ONO552"/>
      <c r="ONP552"/>
      <c r="ONQ552"/>
      <c r="ONR552"/>
      <c r="ONS552"/>
      <c r="ONT552"/>
      <c r="ONU552"/>
      <c r="ONV552"/>
      <c r="ONW552"/>
      <c r="ONX552"/>
      <c r="ONY552"/>
      <c r="ONZ552"/>
      <c r="OOA552"/>
      <c r="OOB552"/>
      <c r="OOC552"/>
      <c r="OOD552"/>
      <c r="OOE552"/>
      <c r="OOF552"/>
      <c r="OOG552"/>
      <c r="OOH552"/>
      <c r="OOI552"/>
      <c r="OOJ552"/>
      <c r="OOK552"/>
      <c r="OOL552"/>
      <c r="OOM552"/>
      <c r="OON552"/>
      <c r="OOO552"/>
      <c r="OOP552"/>
      <c r="OOQ552"/>
      <c r="OOR552"/>
      <c r="OOS552"/>
      <c r="OOT552"/>
      <c r="OOU552"/>
      <c r="OOV552"/>
      <c r="OOW552"/>
      <c r="OOX552"/>
      <c r="OOY552"/>
      <c r="OOZ552"/>
      <c r="OPA552"/>
      <c r="OPB552"/>
      <c r="OPC552"/>
      <c r="OPD552"/>
      <c r="OPE552"/>
      <c r="OPF552"/>
      <c r="OPG552"/>
      <c r="OPH552"/>
      <c r="OPI552"/>
      <c r="OPJ552"/>
      <c r="OPK552"/>
      <c r="OPL552"/>
      <c r="OPM552"/>
      <c r="OPN552"/>
      <c r="OPO552"/>
      <c r="OPP552"/>
      <c r="OPQ552"/>
      <c r="OPR552"/>
      <c r="OPS552"/>
      <c r="OPT552"/>
      <c r="OPU552"/>
      <c r="OPV552"/>
      <c r="OPW552"/>
      <c r="OPX552"/>
      <c r="OPY552"/>
      <c r="OPZ552"/>
      <c r="OQA552"/>
      <c r="OQB552"/>
      <c r="OQC552"/>
      <c r="OQD552"/>
      <c r="OQE552"/>
      <c r="OQF552"/>
      <c r="OQG552"/>
      <c r="OQH552"/>
      <c r="OQI552"/>
      <c r="OQJ552"/>
      <c r="OQK552"/>
      <c r="OQL552"/>
      <c r="OQM552"/>
      <c r="OQN552"/>
      <c r="OQO552"/>
      <c r="OQP552"/>
      <c r="OQQ552"/>
      <c r="OQR552"/>
      <c r="OQS552"/>
      <c r="OQT552"/>
      <c r="OQU552"/>
      <c r="OQV552"/>
      <c r="OQW552"/>
      <c r="OQX552"/>
      <c r="OQY552"/>
      <c r="OQZ552"/>
      <c r="ORA552"/>
      <c r="ORB552"/>
      <c r="ORC552"/>
      <c r="ORD552"/>
      <c r="ORE552"/>
      <c r="ORF552"/>
      <c r="ORG552"/>
      <c r="ORH552"/>
      <c r="ORI552"/>
      <c r="ORJ552"/>
      <c r="ORK552"/>
      <c r="ORL552"/>
      <c r="ORM552"/>
      <c r="ORN552"/>
      <c r="ORO552"/>
      <c r="ORP552"/>
      <c r="ORQ552"/>
      <c r="ORR552"/>
      <c r="ORS552"/>
      <c r="ORT552"/>
      <c r="ORU552"/>
      <c r="ORV552"/>
      <c r="ORW552"/>
      <c r="ORX552"/>
      <c r="ORY552"/>
      <c r="ORZ552"/>
      <c r="OSA552"/>
      <c r="OSB552"/>
      <c r="OSC552"/>
      <c r="OSD552"/>
      <c r="OSE552"/>
      <c r="OSF552"/>
      <c r="OSG552"/>
      <c r="OSH552"/>
      <c r="OSI552"/>
      <c r="OSJ552"/>
      <c r="OSK552"/>
      <c r="OSL552"/>
      <c r="OSM552"/>
      <c r="OSN552"/>
      <c r="OSO552"/>
      <c r="OSP552"/>
      <c r="OSQ552"/>
      <c r="OSR552"/>
      <c r="OSS552"/>
      <c r="OST552"/>
      <c r="OSU552"/>
      <c r="OSV552"/>
      <c r="OSW552"/>
      <c r="OSX552"/>
      <c r="OSY552"/>
      <c r="OSZ552"/>
      <c r="OTA552"/>
      <c r="OTB552"/>
      <c r="OTC552"/>
      <c r="OTD552"/>
      <c r="OTE552"/>
      <c r="OTF552"/>
      <c r="OTG552"/>
      <c r="OTH552"/>
      <c r="OTI552"/>
      <c r="OTJ552"/>
      <c r="OTK552"/>
      <c r="OTL552"/>
      <c r="OTM552"/>
      <c r="OTN552"/>
      <c r="OTO552"/>
      <c r="OTP552"/>
      <c r="OTQ552"/>
      <c r="OTR552"/>
      <c r="OTS552"/>
      <c r="OTT552"/>
      <c r="OTU552"/>
      <c r="OTV552"/>
      <c r="OTW552"/>
      <c r="OTX552"/>
      <c r="OTY552"/>
      <c r="OTZ552"/>
      <c r="OUA552"/>
      <c r="OUB552"/>
      <c r="OUC552"/>
      <c r="OUD552"/>
      <c r="OUE552"/>
      <c r="OUF552"/>
      <c r="OUG552"/>
      <c r="OUH552"/>
      <c r="OUI552"/>
      <c r="OUJ552"/>
      <c r="OUK552"/>
      <c r="OUL552"/>
      <c r="OUM552"/>
      <c r="OUN552"/>
      <c r="OUO552"/>
      <c r="OUP552"/>
      <c r="OUQ552"/>
      <c r="OUR552"/>
      <c r="OUS552"/>
      <c r="OUT552"/>
      <c r="OUU552"/>
      <c r="OUV552"/>
      <c r="OUW552"/>
      <c r="OUX552"/>
      <c r="OUY552"/>
      <c r="OUZ552"/>
      <c r="OVA552"/>
      <c r="OVB552"/>
      <c r="OVC552"/>
      <c r="OVD552"/>
      <c r="OVE552"/>
      <c r="OVF552"/>
      <c r="OVG552"/>
      <c r="OVH552"/>
      <c r="OVI552"/>
      <c r="OVJ552"/>
      <c r="OVK552"/>
      <c r="OVL552"/>
      <c r="OVM552"/>
      <c r="OVN552"/>
      <c r="OVO552"/>
      <c r="OVP552"/>
      <c r="OVQ552"/>
      <c r="OVR552"/>
      <c r="OVS552"/>
      <c r="OVT552"/>
      <c r="OVU552"/>
      <c r="OVV552"/>
      <c r="OVW552"/>
      <c r="OVX552"/>
      <c r="OVY552"/>
      <c r="OVZ552"/>
      <c r="OWA552"/>
      <c r="OWB552"/>
      <c r="OWC552"/>
      <c r="OWD552"/>
      <c r="OWE552"/>
      <c r="OWF552"/>
      <c r="OWG552"/>
      <c r="OWH552"/>
      <c r="OWI552"/>
      <c r="OWJ552"/>
      <c r="OWK552"/>
      <c r="OWL552"/>
      <c r="OWM552"/>
      <c r="OWN552"/>
      <c r="OWO552"/>
      <c r="OWP552"/>
      <c r="OWQ552"/>
      <c r="OWR552"/>
      <c r="OWS552"/>
      <c r="OWT552"/>
      <c r="OWU552"/>
      <c r="OWV552"/>
      <c r="OWW552"/>
      <c r="OWX552"/>
      <c r="OWY552"/>
      <c r="OWZ552"/>
      <c r="OXA552"/>
      <c r="OXB552"/>
      <c r="OXC552"/>
      <c r="OXD552"/>
      <c r="OXE552"/>
      <c r="OXF552"/>
      <c r="OXG552"/>
      <c r="OXH552"/>
      <c r="OXI552"/>
      <c r="OXJ552"/>
      <c r="OXK552"/>
      <c r="OXL552"/>
      <c r="OXM552"/>
      <c r="OXN552"/>
      <c r="OXO552"/>
      <c r="OXP552"/>
      <c r="OXQ552"/>
      <c r="OXR552"/>
      <c r="OXS552"/>
      <c r="OXT552"/>
      <c r="OXU552"/>
      <c r="OXV552"/>
      <c r="OXW552"/>
      <c r="OXX552"/>
      <c r="OXY552"/>
      <c r="OXZ552"/>
      <c r="OYA552"/>
      <c r="OYB552"/>
      <c r="OYC552"/>
      <c r="OYD552"/>
      <c r="OYE552"/>
      <c r="OYF552"/>
      <c r="OYG552"/>
      <c r="OYH552"/>
      <c r="OYI552"/>
      <c r="OYJ552"/>
      <c r="OYK552"/>
      <c r="OYL552"/>
      <c r="OYM552"/>
      <c r="OYN552"/>
      <c r="OYO552"/>
      <c r="OYP552"/>
      <c r="OYQ552"/>
      <c r="OYR552"/>
      <c r="OYS552"/>
      <c r="OYT552"/>
      <c r="OYU552"/>
      <c r="OYV552"/>
      <c r="OYW552"/>
      <c r="OYX552"/>
      <c r="OYY552"/>
      <c r="OYZ552"/>
      <c r="OZA552"/>
      <c r="OZB552"/>
      <c r="OZC552"/>
      <c r="OZD552"/>
      <c r="OZE552"/>
      <c r="OZF552"/>
      <c r="OZG552"/>
      <c r="OZH552"/>
      <c r="OZI552"/>
      <c r="OZJ552"/>
      <c r="OZK552"/>
      <c r="OZL552"/>
      <c r="OZM552"/>
      <c r="OZN552"/>
      <c r="OZO552"/>
      <c r="OZP552"/>
      <c r="OZQ552"/>
      <c r="OZR552"/>
      <c r="OZS552"/>
      <c r="OZT552"/>
      <c r="OZU552"/>
      <c r="OZV552"/>
      <c r="OZW552"/>
      <c r="OZX552"/>
      <c r="OZY552"/>
      <c r="OZZ552"/>
      <c r="PAA552"/>
      <c r="PAB552"/>
      <c r="PAC552"/>
      <c r="PAD552"/>
      <c r="PAE552"/>
      <c r="PAF552"/>
      <c r="PAG552"/>
      <c r="PAH552"/>
      <c r="PAI552"/>
      <c r="PAJ552"/>
      <c r="PAK552"/>
      <c r="PAL552"/>
      <c r="PAM552"/>
      <c r="PAN552"/>
      <c r="PAO552"/>
      <c r="PAP552"/>
      <c r="PAQ552"/>
      <c r="PAR552"/>
      <c r="PAS552"/>
      <c r="PAT552"/>
      <c r="PAU552"/>
      <c r="PAV552"/>
      <c r="PAW552"/>
      <c r="PAX552"/>
      <c r="PAY552"/>
      <c r="PAZ552"/>
      <c r="PBA552"/>
      <c r="PBB552"/>
      <c r="PBC552"/>
      <c r="PBD552"/>
      <c r="PBE552"/>
      <c r="PBF552"/>
      <c r="PBG552"/>
      <c r="PBH552"/>
      <c r="PBI552"/>
      <c r="PBJ552"/>
      <c r="PBK552"/>
      <c r="PBL552"/>
      <c r="PBM552"/>
      <c r="PBN552"/>
      <c r="PBO552"/>
      <c r="PBP552"/>
      <c r="PBQ552"/>
      <c r="PBR552"/>
      <c r="PBS552"/>
      <c r="PBT552"/>
      <c r="PBU552"/>
      <c r="PBV552"/>
      <c r="PBW552"/>
      <c r="PBX552"/>
      <c r="PBY552"/>
      <c r="PBZ552"/>
      <c r="PCA552"/>
      <c r="PCB552"/>
      <c r="PCC552"/>
      <c r="PCD552"/>
      <c r="PCE552"/>
      <c r="PCF552"/>
      <c r="PCG552"/>
      <c r="PCH552"/>
      <c r="PCI552"/>
      <c r="PCJ552"/>
      <c r="PCK552"/>
      <c r="PCL552"/>
      <c r="PCM552"/>
      <c r="PCN552"/>
      <c r="PCO552"/>
      <c r="PCP552"/>
      <c r="PCQ552"/>
      <c r="PCR552"/>
      <c r="PCS552"/>
      <c r="PCT552"/>
      <c r="PCU552"/>
      <c r="PCV552"/>
      <c r="PCW552"/>
      <c r="PCX552"/>
      <c r="PCY552"/>
      <c r="PCZ552"/>
      <c r="PDA552"/>
      <c r="PDB552"/>
      <c r="PDC552"/>
      <c r="PDD552"/>
      <c r="PDE552"/>
      <c r="PDF552"/>
      <c r="PDG552"/>
      <c r="PDH552"/>
      <c r="PDI552"/>
      <c r="PDJ552"/>
      <c r="PDK552"/>
      <c r="PDL552"/>
      <c r="PDM552"/>
      <c r="PDN552"/>
      <c r="PDO552"/>
      <c r="PDP552"/>
      <c r="PDQ552"/>
      <c r="PDR552"/>
      <c r="PDS552"/>
      <c r="PDT552"/>
      <c r="PDU552"/>
      <c r="PDV552"/>
      <c r="PDW552"/>
      <c r="PDX552"/>
      <c r="PDY552"/>
      <c r="PDZ552"/>
      <c r="PEA552"/>
      <c r="PEB552"/>
      <c r="PEC552"/>
      <c r="PED552"/>
      <c r="PEE552"/>
      <c r="PEF552"/>
      <c r="PEG552"/>
      <c r="PEH552"/>
      <c r="PEI552"/>
      <c r="PEJ552"/>
      <c r="PEK552"/>
      <c r="PEL552"/>
      <c r="PEM552"/>
      <c r="PEN552"/>
      <c r="PEO552"/>
      <c r="PEP552"/>
      <c r="PEQ552"/>
      <c r="PER552"/>
      <c r="PES552"/>
      <c r="PET552"/>
      <c r="PEU552"/>
      <c r="PEV552"/>
      <c r="PEW552"/>
      <c r="PEX552"/>
      <c r="PEY552"/>
      <c r="PEZ552"/>
      <c r="PFA552"/>
      <c r="PFB552"/>
      <c r="PFC552"/>
      <c r="PFD552"/>
      <c r="PFE552"/>
      <c r="PFF552"/>
      <c r="PFG552"/>
      <c r="PFH552"/>
      <c r="PFI552"/>
      <c r="PFJ552"/>
      <c r="PFK552"/>
      <c r="PFL552"/>
      <c r="PFM552"/>
      <c r="PFN552"/>
      <c r="PFO552"/>
      <c r="PFP552"/>
      <c r="PFQ552"/>
      <c r="PFR552"/>
      <c r="PFS552"/>
      <c r="PFT552"/>
      <c r="PFU552"/>
      <c r="PFV552"/>
      <c r="PFW552"/>
      <c r="PFX552"/>
      <c r="PFY552"/>
      <c r="PFZ552"/>
      <c r="PGA552"/>
      <c r="PGB552"/>
      <c r="PGC552"/>
      <c r="PGD552"/>
      <c r="PGE552"/>
      <c r="PGF552"/>
      <c r="PGG552"/>
      <c r="PGH552"/>
      <c r="PGI552"/>
      <c r="PGJ552"/>
      <c r="PGK552"/>
      <c r="PGL552"/>
      <c r="PGM552"/>
      <c r="PGN552"/>
      <c r="PGO552"/>
      <c r="PGP552"/>
      <c r="PGQ552"/>
      <c r="PGR552"/>
      <c r="PGS552"/>
      <c r="PGT552"/>
      <c r="PGU552"/>
      <c r="PGV552"/>
      <c r="PGW552"/>
      <c r="PGX552"/>
      <c r="PGY552"/>
      <c r="PGZ552"/>
      <c r="PHA552"/>
      <c r="PHB552"/>
      <c r="PHC552"/>
      <c r="PHD552"/>
      <c r="PHE552"/>
      <c r="PHF552"/>
      <c r="PHG552"/>
      <c r="PHH552"/>
      <c r="PHI552"/>
      <c r="PHJ552"/>
      <c r="PHK552"/>
      <c r="PHL552"/>
      <c r="PHM552"/>
      <c r="PHN552"/>
      <c r="PHO552"/>
      <c r="PHP552"/>
      <c r="PHQ552"/>
      <c r="PHR552"/>
      <c r="PHS552"/>
      <c r="PHT552"/>
      <c r="PHU552"/>
      <c r="PHV552"/>
      <c r="PHW552"/>
      <c r="PHX552"/>
      <c r="PHY552"/>
      <c r="PHZ552"/>
      <c r="PIA552"/>
      <c r="PIB552"/>
      <c r="PIC552"/>
      <c r="PID552"/>
      <c r="PIE552"/>
      <c r="PIF552"/>
      <c r="PIG552"/>
      <c r="PIH552"/>
      <c r="PII552"/>
      <c r="PIJ552"/>
      <c r="PIK552"/>
      <c r="PIL552"/>
      <c r="PIM552"/>
      <c r="PIN552"/>
      <c r="PIO552"/>
      <c r="PIP552"/>
      <c r="PIQ552"/>
      <c r="PIR552"/>
      <c r="PIS552"/>
      <c r="PIT552"/>
      <c r="PIU552"/>
      <c r="PIV552"/>
      <c r="PIW552"/>
      <c r="PIX552"/>
      <c r="PIY552"/>
      <c r="PIZ552"/>
      <c r="PJA552"/>
      <c r="PJB552"/>
      <c r="PJC552"/>
      <c r="PJD552"/>
      <c r="PJE552"/>
      <c r="PJF552"/>
      <c r="PJG552"/>
      <c r="PJH552"/>
      <c r="PJI552"/>
      <c r="PJJ552"/>
      <c r="PJK552"/>
      <c r="PJL552"/>
      <c r="PJM552"/>
      <c r="PJN552"/>
      <c r="PJO552"/>
      <c r="PJP552"/>
      <c r="PJQ552"/>
      <c r="PJR552"/>
      <c r="PJS552"/>
      <c r="PJT552"/>
      <c r="PJU552"/>
      <c r="PJV552"/>
      <c r="PJW552"/>
      <c r="PJX552"/>
      <c r="PJY552"/>
      <c r="PJZ552"/>
      <c r="PKA552"/>
      <c r="PKB552"/>
      <c r="PKC552"/>
      <c r="PKD552"/>
      <c r="PKE552"/>
      <c r="PKF552"/>
      <c r="PKG552"/>
      <c r="PKH552"/>
      <c r="PKI552"/>
      <c r="PKJ552"/>
      <c r="PKK552"/>
      <c r="PKL552"/>
      <c r="PKM552"/>
      <c r="PKN552"/>
      <c r="PKO552"/>
      <c r="PKP552"/>
      <c r="PKQ552"/>
      <c r="PKR552"/>
      <c r="PKS552"/>
      <c r="PKT552"/>
      <c r="PKU552"/>
      <c r="PKV552"/>
      <c r="PKW552"/>
      <c r="PKX552"/>
      <c r="PKY552"/>
      <c r="PKZ552"/>
      <c r="PLA552"/>
      <c r="PLB552"/>
      <c r="PLC552"/>
      <c r="PLD552"/>
      <c r="PLE552"/>
      <c r="PLF552"/>
      <c r="PLG552"/>
      <c r="PLH552"/>
      <c r="PLI552"/>
      <c r="PLJ552"/>
      <c r="PLK552"/>
      <c r="PLL552"/>
      <c r="PLM552"/>
      <c r="PLN552"/>
      <c r="PLO552"/>
      <c r="PLP552"/>
      <c r="PLQ552"/>
      <c r="PLR552"/>
      <c r="PLS552"/>
      <c r="PLT552"/>
      <c r="PLU552"/>
      <c r="PLV552"/>
      <c r="PLW552"/>
      <c r="PLX552"/>
      <c r="PLY552"/>
      <c r="PLZ552"/>
      <c r="PMA552"/>
      <c r="PMB552"/>
      <c r="PMC552"/>
      <c r="PMD552"/>
      <c r="PME552"/>
      <c r="PMF552"/>
      <c r="PMG552"/>
      <c r="PMH552"/>
      <c r="PMI552"/>
      <c r="PMJ552"/>
      <c r="PMK552"/>
      <c r="PML552"/>
      <c r="PMM552"/>
      <c r="PMN552"/>
      <c r="PMO552"/>
      <c r="PMP552"/>
      <c r="PMQ552"/>
      <c r="PMR552"/>
      <c r="PMS552"/>
      <c r="PMT552"/>
      <c r="PMU552"/>
      <c r="PMV552"/>
      <c r="PMW552"/>
      <c r="PMX552"/>
      <c r="PMY552"/>
      <c r="PMZ552"/>
      <c r="PNA552"/>
      <c r="PNB552"/>
      <c r="PNC552"/>
      <c r="PND552"/>
      <c r="PNE552"/>
      <c r="PNF552"/>
      <c r="PNG552"/>
      <c r="PNH552"/>
      <c r="PNI552"/>
      <c r="PNJ552"/>
      <c r="PNK552"/>
      <c r="PNL552"/>
      <c r="PNM552"/>
      <c r="PNN552"/>
      <c r="PNO552"/>
      <c r="PNP552"/>
      <c r="PNQ552"/>
      <c r="PNR552"/>
      <c r="PNS552"/>
      <c r="PNT552"/>
      <c r="PNU552"/>
      <c r="PNV552"/>
      <c r="PNW552"/>
      <c r="PNX552"/>
      <c r="PNY552"/>
      <c r="PNZ552"/>
      <c r="POA552"/>
      <c r="POB552"/>
      <c r="POC552"/>
      <c r="POD552"/>
      <c r="POE552"/>
      <c r="POF552"/>
      <c r="POG552"/>
      <c r="POH552"/>
      <c r="POI552"/>
      <c r="POJ552"/>
      <c r="POK552"/>
      <c r="POL552"/>
      <c r="POM552"/>
      <c r="PON552"/>
      <c r="POO552"/>
      <c r="POP552"/>
      <c r="POQ552"/>
      <c r="POR552"/>
      <c r="POS552"/>
      <c r="POT552"/>
      <c r="POU552"/>
      <c r="POV552"/>
      <c r="POW552"/>
      <c r="POX552"/>
      <c r="POY552"/>
      <c r="POZ552"/>
      <c r="PPA552"/>
      <c r="PPB552"/>
      <c r="PPC552"/>
      <c r="PPD552"/>
      <c r="PPE552"/>
      <c r="PPF552"/>
      <c r="PPG552"/>
      <c r="PPH552"/>
      <c r="PPI552"/>
      <c r="PPJ552"/>
      <c r="PPK552"/>
      <c r="PPL552"/>
      <c r="PPM552"/>
      <c r="PPN552"/>
      <c r="PPO552"/>
      <c r="PPP552"/>
      <c r="PPQ552"/>
      <c r="PPR552"/>
      <c r="PPS552"/>
      <c r="PPT552"/>
      <c r="PPU552"/>
      <c r="PPV552"/>
      <c r="PPW552"/>
      <c r="PPX552"/>
      <c r="PPY552"/>
      <c r="PPZ552"/>
      <c r="PQA552"/>
      <c r="PQB552"/>
      <c r="PQC552"/>
      <c r="PQD552"/>
      <c r="PQE552"/>
      <c r="PQF552"/>
      <c r="PQG552"/>
      <c r="PQH552"/>
      <c r="PQI552"/>
      <c r="PQJ552"/>
      <c r="PQK552"/>
      <c r="PQL552"/>
      <c r="PQM552"/>
      <c r="PQN552"/>
      <c r="PQO552"/>
      <c r="PQP552"/>
      <c r="PQQ552"/>
      <c r="PQR552"/>
      <c r="PQS552"/>
      <c r="PQT552"/>
      <c r="PQU552"/>
      <c r="PQV552"/>
      <c r="PQW552"/>
      <c r="PQX552"/>
      <c r="PQY552"/>
      <c r="PQZ552"/>
      <c r="PRA552"/>
      <c r="PRB552"/>
      <c r="PRC552"/>
      <c r="PRD552"/>
      <c r="PRE552"/>
      <c r="PRF552"/>
      <c r="PRG552"/>
      <c r="PRH552"/>
      <c r="PRI552"/>
      <c r="PRJ552"/>
      <c r="PRK552"/>
      <c r="PRL552"/>
      <c r="PRM552"/>
      <c r="PRN552"/>
      <c r="PRO552"/>
      <c r="PRP552"/>
      <c r="PRQ552"/>
      <c r="PRR552"/>
      <c r="PRS552"/>
      <c r="PRT552"/>
      <c r="PRU552"/>
      <c r="PRV552"/>
      <c r="PRW552"/>
      <c r="PRX552"/>
      <c r="PRY552"/>
      <c r="PRZ552"/>
      <c r="PSA552"/>
      <c r="PSB552"/>
      <c r="PSC552"/>
      <c r="PSD552"/>
      <c r="PSE552"/>
      <c r="PSF552"/>
      <c r="PSG552"/>
      <c r="PSH552"/>
      <c r="PSI552"/>
      <c r="PSJ552"/>
      <c r="PSK552"/>
      <c r="PSL552"/>
      <c r="PSM552"/>
      <c r="PSN552"/>
      <c r="PSO552"/>
      <c r="PSP552"/>
      <c r="PSQ552"/>
      <c r="PSR552"/>
      <c r="PSS552"/>
      <c r="PST552"/>
      <c r="PSU552"/>
      <c r="PSV552"/>
      <c r="PSW552"/>
      <c r="PSX552"/>
      <c r="PSY552"/>
      <c r="PSZ552"/>
      <c r="PTA552"/>
      <c r="PTB552"/>
      <c r="PTC552"/>
      <c r="PTD552"/>
      <c r="PTE552"/>
      <c r="PTF552"/>
      <c r="PTG552"/>
      <c r="PTH552"/>
      <c r="PTI552"/>
      <c r="PTJ552"/>
      <c r="PTK552"/>
      <c r="PTL552"/>
      <c r="PTM552"/>
      <c r="PTN552"/>
      <c r="PTO552"/>
      <c r="PTP552"/>
      <c r="PTQ552"/>
      <c r="PTR552"/>
      <c r="PTS552"/>
      <c r="PTT552"/>
      <c r="PTU552"/>
      <c r="PTV552"/>
      <c r="PTW552"/>
      <c r="PTX552"/>
      <c r="PTY552"/>
      <c r="PTZ552"/>
      <c r="PUA552"/>
      <c r="PUB552"/>
      <c r="PUC552"/>
      <c r="PUD552"/>
      <c r="PUE552"/>
      <c r="PUF552"/>
      <c r="PUG552"/>
      <c r="PUH552"/>
      <c r="PUI552"/>
      <c r="PUJ552"/>
      <c r="PUK552"/>
      <c r="PUL552"/>
      <c r="PUM552"/>
      <c r="PUN552"/>
      <c r="PUO552"/>
      <c r="PUP552"/>
      <c r="PUQ552"/>
      <c r="PUR552"/>
      <c r="PUS552"/>
      <c r="PUT552"/>
      <c r="PUU552"/>
      <c r="PUV552"/>
      <c r="PUW552"/>
      <c r="PUX552"/>
      <c r="PUY552"/>
      <c r="PUZ552"/>
      <c r="PVA552"/>
      <c r="PVB552"/>
      <c r="PVC552"/>
      <c r="PVD552"/>
      <c r="PVE552"/>
      <c r="PVF552"/>
      <c r="PVG552"/>
      <c r="PVH552"/>
      <c r="PVI552"/>
      <c r="PVJ552"/>
      <c r="PVK552"/>
      <c r="PVL552"/>
      <c r="PVM552"/>
      <c r="PVN552"/>
      <c r="PVO552"/>
      <c r="PVP552"/>
      <c r="PVQ552"/>
      <c r="PVR552"/>
      <c r="PVS552"/>
      <c r="PVT552"/>
      <c r="PVU552"/>
      <c r="PVV552"/>
      <c r="PVW552"/>
      <c r="PVX552"/>
      <c r="PVY552"/>
      <c r="PVZ552"/>
      <c r="PWA552"/>
      <c r="PWB552"/>
      <c r="PWC552"/>
      <c r="PWD552"/>
      <c r="PWE552"/>
      <c r="PWF552"/>
      <c r="PWG552"/>
      <c r="PWH552"/>
      <c r="PWI552"/>
      <c r="PWJ552"/>
      <c r="PWK552"/>
      <c r="PWL552"/>
      <c r="PWM552"/>
      <c r="PWN552"/>
      <c r="PWO552"/>
      <c r="PWP552"/>
      <c r="PWQ552"/>
      <c r="PWR552"/>
      <c r="PWS552"/>
      <c r="PWT552"/>
      <c r="PWU552"/>
      <c r="PWV552"/>
      <c r="PWW552"/>
      <c r="PWX552"/>
      <c r="PWY552"/>
      <c r="PWZ552"/>
      <c r="PXA552"/>
      <c r="PXB552"/>
      <c r="PXC552"/>
      <c r="PXD552"/>
      <c r="PXE552"/>
      <c r="PXF552"/>
      <c r="PXG552"/>
      <c r="PXH552"/>
      <c r="PXI552"/>
      <c r="PXJ552"/>
      <c r="PXK552"/>
      <c r="PXL552"/>
      <c r="PXM552"/>
      <c r="PXN552"/>
      <c r="PXO552"/>
      <c r="PXP552"/>
      <c r="PXQ552"/>
      <c r="PXR552"/>
      <c r="PXS552"/>
      <c r="PXT552"/>
      <c r="PXU552"/>
      <c r="PXV552"/>
      <c r="PXW552"/>
      <c r="PXX552"/>
      <c r="PXY552"/>
      <c r="PXZ552"/>
      <c r="PYA552"/>
      <c r="PYB552"/>
      <c r="PYC552"/>
      <c r="PYD552"/>
      <c r="PYE552"/>
      <c r="PYF552"/>
      <c r="PYG552"/>
      <c r="PYH552"/>
      <c r="PYI552"/>
      <c r="PYJ552"/>
      <c r="PYK552"/>
      <c r="PYL552"/>
      <c r="PYM552"/>
      <c r="PYN552"/>
      <c r="PYO552"/>
      <c r="PYP552"/>
      <c r="PYQ552"/>
      <c r="PYR552"/>
      <c r="PYS552"/>
      <c r="PYT552"/>
      <c r="PYU552"/>
      <c r="PYV552"/>
      <c r="PYW552"/>
      <c r="PYX552"/>
      <c r="PYY552"/>
      <c r="PYZ552"/>
      <c r="PZA552"/>
      <c r="PZB552"/>
      <c r="PZC552"/>
      <c r="PZD552"/>
      <c r="PZE552"/>
      <c r="PZF552"/>
      <c r="PZG552"/>
      <c r="PZH552"/>
      <c r="PZI552"/>
      <c r="PZJ552"/>
      <c r="PZK552"/>
      <c r="PZL552"/>
      <c r="PZM552"/>
      <c r="PZN552"/>
      <c r="PZO552"/>
      <c r="PZP552"/>
      <c r="PZQ552"/>
      <c r="PZR552"/>
      <c r="PZS552"/>
      <c r="PZT552"/>
      <c r="PZU552"/>
      <c r="PZV552"/>
      <c r="PZW552"/>
      <c r="PZX552"/>
      <c r="PZY552"/>
      <c r="PZZ552"/>
      <c r="QAA552"/>
      <c r="QAB552"/>
      <c r="QAC552"/>
      <c r="QAD552"/>
      <c r="QAE552"/>
      <c r="QAF552"/>
      <c r="QAG552"/>
      <c r="QAH552"/>
      <c r="QAI552"/>
      <c r="QAJ552"/>
      <c r="QAK552"/>
      <c r="QAL552"/>
      <c r="QAM552"/>
      <c r="QAN552"/>
      <c r="QAO552"/>
      <c r="QAP552"/>
      <c r="QAQ552"/>
      <c r="QAR552"/>
      <c r="QAS552"/>
      <c r="QAT552"/>
      <c r="QAU552"/>
      <c r="QAV552"/>
      <c r="QAW552"/>
      <c r="QAX552"/>
      <c r="QAY552"/>
      <c r="QAZ552"/>
      <c r="QBA552"/>
      <c r="QBB552"/>
      <c r="QBC552"/>
      <c r="QBD552"/>
      <c r="QBE552"/>
      <c r="QBF552"/>
      <c r="QBG552"/>
      <c r="QBH552"/>
      <c r="QBI552"/>
      <c r="QBJ552"/>
      <c r="QBK552"/>
      <c r="QBL552"/>
      <c r="QBM552"/>
      <c r="QBN552"/>
      <c r="QBO552"/>
      <c r="QBP552"/>
      <c r="QBQ552"/>
      <c r="QBR552"/>
      <c r="QBS552"/>
      <c r="QBT552"/>
      <c r="QBU552"/>
      <c r="QBV552"/>
      <c r="QBW552"/>
      <c r="QBX552"/>
      <c r="QBY552"/>
      <c r="QBZ552"/>
      <c r="QCA552"/>
      <c r="QCB552"/>
      <c r="QCC552"/>
      <c r="QCD552"/>
      <c r="QCE552"/>
      <c r="QCF552"/>
      <c r="QCG552"/>
      <c r="QCH552"/>
      <c r="QCI552"/>
      <c r="QCJ552"/>
      <c r="QCK552"/>
      <c r="QCL552"/>
      <c r="QCM552"/>
      <c r="QCN552"/>
      <c r="QCO552"/>
      <c r="QCP552"/>
      <c r="QCQ552"/>
      <c r="QCR552"/>
      <c r="QCS552"/>
      <c r="QCT552"/>
      <c r="QCU552"/>
      <c r="QCV552"/>
      <c r="QCW552"/>
      <c r="QCX552"/>
      <c r="QCY552"/>
      <c r="QCZ552"/>
      <c r="QDA552"/>
      <c r="QDB552"/>
      <c r="QDC552"/>
      <c r="QDD552"/>
      <c r="QDE552"/>
      <c r="QDF552"/>
      <c r="QDG552"/>
      <c r="QDH552"/>
      <c r="QDI552"/>
      <c r="QDJ552"/>
      <c r="QDK552"/>
      <c r="QDL552"/>
      <c r="QDM552"/>
      <c r="QDN552"/>
      <c r="QDO552"/>
      <c r="QDP552"/>
      <c r="QDQ552"/>
      <c r="QDR552"/>
      <c r="QDS552"/>
      <c r="QDT552"/>
      <c r="QDU552"/>
      <c r="QDV552"/>
      <c r="QDW552"/>
      <c r="QDX552"/>
      <c r="QDY552"/>
      <c r="QDZ552"/>
      <c r="QEA552"/>
      <c r="QEB552"/>
      <c r="QEC552"/>
      <c r="QED552"/>
      <c r="QEE552"/>
      <c r="QEF552"/>
      <c r="QEG552"/>
      <c r="QEH552"/>
      <c r="QEI552"/>
      <c r="QEJ552"/>
      <c r="QEK552"/>
      <c r="QEL552"/>
      <c r="QEM552"/>
      <c r="QEN552"/>
      <c r="QEO552"/>
      <c r="QEP552"/>
      <c r="QEQ552"/>
      <c r="QER552"/>
      <c r="QES552"/>
      <c r="QET552"/>
      <c r="QEU552"/>
      <c r="QEV552"/>
      <c r="QEW552"/>
      <c r="QEX552"/>
      <c r="QEY552"/>
      <c r="QEZ552"/>
      <c r="QFA552"/>
      <c r="QFB552"/>
      <c r="QFC552"/>
      <c r="QFD552"/>
      <c r="QFE552"/>
      <c r="QFF552"/>
      <c r="QFG552"/>
      <c r="QFH552"/>
      <c r="QFI552"/>
      <c r="QFJ552"/>
      <c r="QFK552"/>
      <c r="QFL552"/>
      <c r="QFM552"/>
      <c r="QFN552"/>
      <c r="QFO552"/>
      <c r="QFP552"/>
      <c r="QFQ552"/>
      <c r="QFR552"/>
      <c r="QFS552"/>
      <c r="QFT552"/>
      <c r="QFU552"/>
      <c r="QFV552"/>
      <c r="QFW552"/>
      <c r="QFX552"/>
      <c r="QFY552"/>
      <c r="QFZ552"/>
      <c r="QGA552"/>
      <c r="QGB552"/>
      <c r="QGC552"/>
      <c r="QGD552"/>
      <c r="QGE552"/>
      <c r="QGF552"/>
      <c r="QGG552"/>
      <c r="QGH552"/>
      <c r="QGI552"/>
      <c r="QGJ552"/>
      <c r="QGK552"/>
      <c r="QGL552"/>
      <c r="QGM552"/>
      <c r="QGN552"/>
      <c r="QGO552"/>
      <c r="QGP552"/>
      <c r="QGQ552"/>
      <c r="QGR552"/>
      <c r="QGS552"/>
      <c r="QGT552"/>
      <c r="QGU552"/>
      <c r="QGV552"/>
      <c r="QGW552"/>
      <c r="QGX552"/>
      <c r="QGY552"/>
      <c r="QGZ552"/>
      <c r="QHA552"/>
      <c r="QHB552"/>
      <c r="QHC552"/>
      <c r="QHD552"/>
      <c r="QHE552"/>
      <c r="QHF552"/>
      <c r="QHG552"/>
      <c r="QHH552"/>
      <c r="QHI552"/>
      <c r="QHJ552"/>
      <c r="QHK552"/>
      <c r="QHL552"/>
      <c r="QHM552"/>
      <c r="QHN552"/>
      <c r="QHO552"/>
      <c r="QHP552"/>
      <c r="QHQ552"/>
      <c r="QHR552"/>
      <c r="QHS552"/>
      <c r="QHT552"/>
      <c r="QHU552"/>
      <c r="QHV552"/>
      <c r="QHW552"/>
      <c r="QHX552"/>
      <c r="QHY552"/>
      <c r="QHZ552"/>
      <c r="QIA552"/>
      <c r="QIB552"/>
      <c r="QIC552"/>
      <c r="QID552"/>
      <c r="QIE552"/>
      <c r="QIF552"/>
      <c r="QIG552"/>
      <c r="QIH552"/>
      <c r="QII552"/>
      <c r="QIJ552"/>
      <c r="QIK552"/>
      <c r="QIL552"/>
      <c r="QIM552"/>
      <c r="QIN552"/>
      <c r="QIO552"/>
      <c r="QIP552"/>
      <c r="QIQ552"/>
      <c r="QIR552"/>
      <c r="QIS552"/>
      <c r="QIT552"/>
      <c r="QIU552"/>
      <c r="QIV552"/>
      <c r="QIW552"/>
      <c r="QIX552"/>
      <c r="QIY552"/>
      <c r="QIZ552"/>
      <c r="QJA552"/>
      <c r="QJB552"/>
      <c r="QJC552"/>
      <c r="QJD552"/>
      <c r="QJE552"/>
      <c r="QJF552"/>
      <c r="QJG552"/>
      <c r="QJH552"/>
      <c r="QJI552"/>
      <c r="QJJ552"/>
      <c r="QJK552"/>
      <c r="QJL552"/>
      <c r="QJM552"/>
      <c r="QJN552"/>
      <c r="QJO552"/>
      <c r="QJP552"/>
      <c r="QJQ552"/>
      <c r="QJR552"/>
      <c r="QJS552"/>
      <c r="QJT552"/>
      <c r="QJU552"/>
      <c r="QJV552"/>
      <c r="QJW552"/>
      <c r="QJX552"/>
      <c r="QJY552"/>
      <c r="QJZ552"/>
      <c r="QKA552"/>
      <c r="QKB552"/>
      <c r="QKC552"/>
      <c r="QKD552"/>
      <c r="QKE552"/>
      <c r="QKF552"/>
      <c r="QKG552"/>
      <c r="QKH552"/>
      <c r="QKI552"/>
      <c r="QKJ552"/>
      <c r="QKK552"/>
      <c r="QKL552"/>
      <c r="QKM552"/>
      <c r="QKN552"/>
      <c r="QKO552"/>
      <c r="QKP552"/>
      <c r="QKQ552"/>
      <c r="QKR552"/>
      <c r="QKS552"/>
      <c r="QKT552"/>
      <c r="QKU552"/>
      <c r="QKV552"/>
      <c r="QKW552"/>
      <c r="QKX552"/>
      <c r="QKY552"/>
      <c r="QKZ552"/>
      <c r="QLA552"/>
      <c r="QLB552"/>
      <c r="QLC552"/>
      <c r="QLD552"/>
      <c r="QLE552"/>
      <c r="QLF552"/>
      <c r="QLG552"/>
      <c r="QLH552"/>
      <c r="QLI552"/>
      <c r="QLJ552"/>
      <c r="QLK552"/>
      <c r="QLL552"/>
      <c r="QLM552"/>
      <c r="QLN552"/>
      <c r="QLO552"/>
      <c r="QLP552"/>
      <c r="QLQ552"/>
      <c r="QLR552"/>
      <c r="QLS552"/>
      <c r="QLT552"/>
      <c r="QLU552"/>
      <c r="QLV552"/>
      <c r="QLW552"/>
      <c r="QLX552"/>
      <c r="QLY552"/>
      <c r="QLZ552"/>
      <c r="QMA552"/>
      <c r="QMB552"/>
      <c r="QMC552"/>
      <c r="QMD552"/>
      <c r="QME552"/>
      <c r="QMF552"/>
      <c r="QMG552"/>
      <c r="QMH552"/>
      <c r="QMI552"/>
      <c r="QMJ552"/>
      <c r="QMK552"/>
      <c r="QML552"/>
      <c r="QMM552"/>
      <c r="QMN552"/>
      <c r="QMO552"/>
      <c r="QMP552"/>
      <c r="QMQ552"/>
      <c r="QMR552"/>
      <c r="QMS552"/>
      <c r="QMT552"/>
      <c r="QMU552"/>
      <c r="QMV552"/>
      <c r="QMW552"/>
      <c r="QMX552"/>
      <c r="QMY552"/>
      <c r="QMZ552"/>
      <c r="QNA552"/>
      <c r="QNB552"/>
      <c r="QNC552"/>
      <c r="QND552"/>
      <c r="QNE552"/>
      <c r="QNF552"/>
      <c r="QNG552"/>
      <c r="QNH552"/>
      <c r="QNI552"/>
      <c r="QNJ552"/>
      <c r="QNK552"/>
      <c r="QNL552"/>
      <c r="QNM552"/>
      <c r="QNN552"/>
      <c r="QNO552"/>
      <c r="QNP552"/>
      <c r="QNQ552"/>
      <c r="QNR552"/>
      <c r="QNS552"/>
      <c r="QNT552"/>
      <c r="QNU552"/>
      <c r="QNV552"/>
      <c r="QNW552"/>
      <c r="QNX552"/>
      <c r="QNY552"/>
      <c r="QNZ552"/>
      <c r="QOA552"/>
      <c r="QOB552"/>
      <c r="QOC552"/>
      <c r="QOD552"/>
      <c r="QOE552"/>
      <c r="QOF552"/>
      <c r="QOG552"/>
      <c r="QOH552"/>
      <c r="QOI552"/>
      <c r="QOJ552"/>
      <c r="QOK552"/>
      <c r="QOL552"/>
      <c r="QOM552"/>
      <c r="QON552"/>
      <c r="QOO552"/>
      <c r="QOP552"/>
      <c r="QOQ552"/>
      <c r="QOR552"/>
      <c r="QOS552"/>
      <c r="QOT552"/>
      <c r="QOU552"/>
      <c r="QOV552"/>
      <c r="QOW552"/>
      <c r="QOX552"/>
      <c r="QOY552"/>
      <c r="QOZ552"/>
      <c r="QPA552"/>
      <c r="QPB552"/>
      <c r="QPC552"/>
      <c r="QPD552"/>
      <c r="QPE552"/>
      <c r="QPF552"/>
      <c r="QPG552"/>
      <c r="QPH552"/>
      <c r="QPI552"/>
      <c r="QPJ552"/>
      <c r="QPK552"/>
      <c r="QPL552"/>
      <c r="QPM552"/>
      <c r="QPN552"/>
      <c r="QPO552"/>
      <c r="QPP552"/>
      <c r="QPQ552"/>
      <c r="QPR552"/>
      <c r="QPS552"/>
      <c r="QPT552"/>
      <c r="QPU552"/>
      <c r="QPV552"/>
      <c r="QPW552"/>
      <c r="QPX552"/>
      <c r="QPY552"/>
      <c r="QPZ552"/>
      <c r="QQA552"/>
      <c r="QQB552"/>
      <c r="QQC552"/>
      <c r="QQD552"/>
      <c r="QQE552"/>
      <c r="QQF552"/>
      <c r="QQG552"/>
      <c r="QQH552"/>
      <c r="QQI552"/>
      <c r="QQJ552"/>
      <c r="QQK552"/>
      <c r="QQL552"/>
      <c r="QQM552"/>
      <c r="QQN552"/>
      <c r="QQO552"/>
      <c r="QQP552"/>
      <c r="QQQ552"/>
      <c r="QQR552"/>
      <c r="QQS552"/>
      <c r="QQT552"/>
      <c r="QQU552"/>
      <c r="QQV552"/>
      <c r="QQW552"/>
      <c r="QQX552"/>
      <c r="QQY552"/>
      <c r="QQZ552"/>
      <c r="QRA552"/>
      <c r="QRB552"/>
      <c r="QRC552"/>
      <c r="QRD552"/>
      <c r="QRE552"/>
      <c r="QRF552"/>
      <c r="QRG552"/>
      <c r="QRH552"/>
      <c r="QRI552"/>
      <c r="QRJ552"/>
      <c r="QRK552"/>
      <c r="QRL552"/>
      <c r="QRM552"/>
      <c r="QRN552"/>
      <c r="QRO552"/>
      <c r="QRP552"/>
      <c r="QRQ552"/>
      <c r="QRR552"/>
      <c r="QRS552"/>
      <c r="QRT552"/>
      <c r="QRU552"/>
      <c r="QRV552"/>
      <c r="QRW552"/>
      <c r="QRX552"/>
      <c r="QRY552"/>
      <c r="QRZ552"/>
      <c r="QSA552"/>
      <c r="QSB552"/>
      <c r="QSC552"/>
      <c r="QSD552"/>
      <c r="QSE552"/>
      <c r="QSF552"/>
      <c r="QSG552"/>
      <c r="QSH552"/>
      <c r="QSI552"/>
      <c r="QSJ552"/>
      <c r="QSK552"/>
      <c r="QSL552"/>
      <c r="QSM552"/>
      <c r="QSN552"/>
      <c r="QSO552"/>
      <c r="QSP552"/>
      <c r="QSQ552"/>
      <c r="QSR552"/>
      <c r="QSS552"/>
      <c r="QST552"/>
      <c r="QSU552"/>
      <c r="QSV552"/>
      <c r="QSW552"/>
      <c r="QSX552"/>
      <c r="QSY552"/>
      <c r="QSZ552"/>
      <c r="QTA552"/>
      <c r="QTB552"/>
      <c r="QTC552"/>
      <c r="QTD552"/>
      <c r="QTE552"/>
      <c r="QTF552"/>
      <c r="QTG552"/>
      <c r="QTH552"/>
      <c r="QTI552"/>
      <c r="QTJ552"/>
      <c r="QTK552"/>
      <c r="QTL552"/>
      <c r="QTM552"/>
      <c r="QTN552"/>
      <c r="QTO552"/>
      <c r="QTP552"/>
      <c r="QTQ552"/>
      <c r="QTR552"/>
      <c r="QTS552"/>
      <c r="QTT552"/>
      <c r="QTU552"/>
      <c r="QTV552"/>
      <c r="QTW552"/>
      <c r="QTX552"/>
      <c r="QTY552"/>
      <c r="QTZ552"/>
      <c r="QUA552"/>
      <c r="QUB552"/>
      <c r="QUC552"/>
      <c r="QUD552"/>
      <c r="QUE552"/>
      <c r="QUF552"/>
      <c r="QUG552"/>
      <c r="QUH552"/>
      <c r="QUI552"/>
      <c r="QUJ552"/>
      <c r="QUK552"/>
      <c r="QUL552"/>
      <c r="QUM552"/>
      <c r="QUN552"/>
      <c r="QUO552"/>
      <c r="QUP552"/>
      <c r="QUQ552"/>
      <c r="QUR552"/>
      <c r="QUS552"/>
      <c r="QUT552"/>
      <c r="QUU552"/>
      <c r="QUV552"/>
      <c r="QUW552"/>
      <c r="QUX552"/>
      <c r="QUY552"/>
      <c r="QUZ552"/>
      <c r="QVA552"/>
      <c r="QVB552"/>
      <c r="QVC552"/>
      <c r="QVD552"/>
      <c r="QVE552"/>
      <c r="QVF552"/>
      <c r="QVG552"/>
      <c r="QVH552"/>
      <c r="QVI552"/>
      <c r="QVJ552"/>
      <c r="QVK552"/>
      <c r="QVL552"/>
      <c r="QVM552"/>
      <c r="QVN552"/>
      <c r="QVO552"/>
      <c r="QVP552"/>
      <c r="QVQ552"/>
      <c r="QVR552"/>
      <c r="QVS552"/>
      <c r="QVT552"/>
      <c r="QVU552"/>
      <c r="QVV552"/>
      <c r="QVW552"/>
      <c r="QVX552"/>
      <c r="QVY552"/>
      <c r="QVZ552"/>
      <c r="QWA552"/>
      <c r="QWB552"/>
      <c r="QWC552"/>
      <c r="QWD552"/>
      <c r="QWE552"/>
      <c r="QWF552"/>
      <c r="QWG552"/>
      <c r="QWH552"/>
      <c r="QWI552"/>
      <c r="QWJ552"/>
      <c r="QWK552"/>
      <c r="QWL552"/>
      <c r="QWM552"/>
      <c r="QWN552"/>
      <c r="QWO552"/>
      <c r="QWP552"/>
      <c r="QWQ552"/>
      <c r="QWR552"/>
      <c r="QWS552"/>
      <c r="QWT552"/>
      <c r="QWU552"/>
      <c r="QWV552"/>
      <c r="QWW552"/>
      <c r="QWX552"/>
      <c r="QWY552"/>
      <c r="QWZ552"/>
      <c r="QXA552"/>
      <c r="QXB552"/>
      <c r="QXC552"/>
      <c r="QXD552"/>
      <c r="QXE552"/>
      <c r="QXF552"/>
      <c r="QXG552"/>
      <c r="QXH552"/>
      <c r="QXI552"/>
      <c r="QXJ552"/>
      <c r="QXK552"/>
      <c r="QXL552"/>
      <c r="QXM552"/>
      <c r="QXN552"/>
      <c r="QXO552"/>
      <c r="QXP552"/>
      <c r="QXQ552"/>
      <c r="QXR552"/>
      <c r="QXS552"/>
      <c r="QXT552"/>
      <c r="QXU552"/>
      <c r="QXV552"/>
      <c r="QXW552"/>
      <c r="QXX552"/>
      <c r="QXY552"/>
      <c r="QXZ552"/>
      <c r="QYA552"/>
      <c r="QYB552"/>
      <c r="QYC552"/>
      <c r="QYD552"/>
      <c r="QYE552"/>
      <c r="QYF552"/>
      <c r="QYG552"/>
      <c r="QYH552"/>
      <c r="QYI552"/>
      <c r="QYJ552"/>
      <c r="QYK552"/>
      <c r="QYL552"/>
      <c r="QYM552"/>
      <c r="QYN552"/>
      <c r="QYO552"/>
      <c r="QYP552"/>
      <c r="QYQ552"/>
      <c r="QYR552"/>
      <c r="QYS552"/>
      <c r="QYT552"/>
      <c r="QYU552"/>
      <c r="QYV552"/>
      <c r="QYW552"/>
      <c r="QYX552"/>
      <c r="QYY552"/>
      <c r="QYZ552"/>
      <c r="QZA552"/>
      <c r="QZB552"/>
      <c r="QZC552"/>
      <c r="QZD552"/>
      <c r="QZE552"/>
      <c r="QZF552"/>
      <c r="QZG552"/>
      <c r="QZH552"/>
      <c r="QZI552"/>
      <c r="QZJ552"/>
      <c r="QZK552"/>
      <c r="QZL552"/>
      <c r="QZM552"/>
      <c r="QZN552"/>
      <c r="QZO552"/>
      <c r="QZP552"/>
      <c r="QZQ552"/>
      <c r="QZR552"/>
      <c r="QZS552"/>
      <c r="QZT552"/>
      <c r="QZU552"/>
      <c r="QZV552"/>
      <c r="QZW552"/>
      <c r="QZX552"/>
      <c r="QZY552"/>
      <c r="QZZ552"/>
      <c r="RAA552"/>
      <c r="RAB552"/>
      <c r="RAC552"/>
      <c r="RAD552"/>
      <c r="RAE552"/>
      <c r="RAF552"/>
      <c r="RAG552"/>
      <c r="RAH552"/>
      <c r="RAI552"/>
      <c r="RAJ552"/>
      <c r="RAK552"/>
      <c r="RAL552"/>
      <c r="RAM552"/>
      <c r="RAN552"/>
      <c r="RAO552"/>
      <c r="RAP552"/>
      <c r="RAQ552"/>
      <c r="RAR552"/>
      <c r="RAS552"/>
      <c r="RAT552"/>
      <c r="RAU552"/>
      <c r="RAV552"/>
      <c r="RAW552"/>
      <c r="RAX552"/>
      <c r="RAY552"/>
      <c r="RAZ552"/>
      <c r="RBA552"/>
      <c r="RBB552"/>
      <c r="RBC552"/>
      <c r="RBD552"/>
      <c r="RBE552"/>
      <c r="RBF552"/>
      <c r="RBG552"/>
      <c r="RBH552"/>
      <c r="RBI552"/>
      <c r="RBJ552"/>
      <c r="RBK552"/>
      <c r="RBL552"/>
      <c r="RBM552"/>
      <c r="RBN552"/>
      <c r="RBO552"/>
      <c r="RBP552"/>
      <c r="RBQ552"/>
      <c r="RBR552"/>
      <c r="RBS552"/>
      <c r="RBT552"/>
      <c r="RBU552"/>
      <c r="RBV552"/>
      <c r="RBW552"/>
      <c r="RBX552"/>
      <c r="RBY552"/>
      <c r="RBZ552"/>
      <c r="RCA552"/>
      <c r="RCB552"/>
      <c r="RCC552"/>
      <c r="RCD552"/>
      <c r="RCE552"/>
      <c r="RCF552"/>
      <c r="RCG552"/>
      <c r="RCH552"/>
      <c r="RCI552"/>
      <c r="RCJ552"/>
      <c r="RCK552"/>
      <c r="RCL552"/>
      <c r="RCM552"/>
      <c r="RCN552"/>
      <c r="RCO552"/>
      <c r="RCP552"/>
      <c r="RCQ552"/>
      <c r="RCR552"/>
      <c r="RCS552"/>
      <c r="RCT552"/>
      <c r="RCU552"/>
      <c r="RCV552"/>
      <c r="RCW552"/>
      <c r="RCX552"/>
      <c r="RCY552"/>
      <c r="RCZ552"/>
      <c r="RDA552"/>
      <c r="RDB552"/>
      <c r="RDC552"/>
      <c r="RDD552"/>
      <c r="RDE552"/>
      <c r="RDF552"/>
      <c r="RDG552"/>
      <c r="RDH552"/>
      <c r="RDI552"/>
      <c r="RDJ552"/>
      <c r="RDK552"/>
      <c r="RDL552"/>
      <c r="RDM552"/>
      <c r="RDN552"/>
      <c r="RDO552"/>
      <c r="RDP552"/>
      <c r="RDQ552"/>
      <c r="RDR552"/>
      <c r="RDS552"/>
      <c r="RDT552"/>
      <c r="RDU552"/>
      <c r="RDV552"/>
      <c r="RDW552"/>
      <c r="RDX552"/>
      <c r="RDY552"/>
      <c r="RDZ552"/>
      <c r="REA552"/>
      <c r="REB552"/>
      <c r="REC552"/>
      <c r="RED552"/>
      <c r="REE552"/>
      <c r="REF552"/>
      <c r="REG552"/>
      <c r="REH552"/>
      <c r="REI552"/>
      <c r="REJ552"/>
      <c r="REK552"/>
      <c r="REL552"/>
      <c r="REM552"/>
      <c r="REN552"/>
      <c r="REO552"/>
      <c r="REP552"/>
      <c r="REQ552"/>
      <c r="RER552"/>
      <c r="RES552"/>
      <c r="RET552"/>
      <c r="REU552"/>
      <c r="REV552"/>
      <c r="REW552"/>
      <c r="REX552"/>
      <c r="REY552"/>
      <c r="REZ552"/>
      <c r="RFA552"/>
      <c r="RFB552"/>
      <c r="RFC552"/>
      <c r="RFD552"/>
      <c r="RFE552"/>
      <c r="RFF552"/>
      <c r="RFG552"/>
      <c r="RFH552"/>
      <c r="RFI552"/>
      <c r="RFJ552"/>
      <c r="RFK552"/>
      <c r="RFL552"/>
      <c r="RFM552"/>
      <c r="RFN552"/>
      <c r="RFO552"/>
      <c r="RFP552"/>
      <c r="RFQ552"/>
      <c r="RFR552"/>
      <c r="RFS552"/>
      <c r="RFT552"/>
      <c r="RFU552"/>
      <c r="RFV552"/>
      <c r="RFW552"/>
      <c r="RFX552"/>
      <c r="RFY552"/>
      <c r="RFZ552"/>
      <c r="RGA552"/>
      <c r="RGB552"/>
      <c r="RGC552"/>
      <c r="RGD552"/>
      <c r="RGE552"/>
      <c r="RGF552"/>
      <c r="RGG552"/>
      <c r="RGH552"/>
      <c r="RGI552"/>
      <c r="RGJ552"/>
      <c r="RGK552"/>
      <c r="RGL552"/>
      <c r="RGM552"/>
      <c r="RGN552"/>
      <c r="RGO552"/>
      <c r="RGP552"/>
      <c r="RGQ552"/>
      <c r="RGR552"/>
      <c r="RGS552"/>
      <c r="RGT552"/>
      <c r="RGU552"/>
      <c r="RGV552"/>
      <c r="RGW552"/>
      <c r="RGX552"/>
      <c r="RGY552"/>
      <c r="RGZ552"/>
      <c r="RHA552"/>
      <c r="RHB552"/>
      <c r="RHC552"/>
      <c r="RHD552"/>
      <c r="RHE552"/>
      <c r="RHF552"/>
      <c r="RHG552"/>
      <c r="RHH552"/>
      <c r="RHI552"/>
      <c r="RHJ552"/>
      <c r="RHK552"/>
      <c r="RHL552"/>
      <c r="RHM552"/>
      <c r="RHN552"/>
      <c r="RHO552"/>
      <c r="RHP552"/>
      <c r="RHQ552"/>
      <c r="RHR552"/>
      <c r="RHS552"/>
      <c r="RHT552"/>
      <c r="RHU552"/>
      <c r="RHV552"/>
      <c r="RHW552"/>
      <c r="RHX552"/>
      <c r="RHY552"/>
      <c r="RHZ552"/>
      <c r="RIA552"/>
      <c r="RIB552"/>
      <c r="RIC552"/>
      <c r="RID552"/>
      <c r="RIE552"/>
      <c r="RIF552"/>
      <c r="RIG552"/>
      <c r="RIH552"/>
      <c r="RII552"/>
      <c r="RIJ552"/>
      <c r="RIK552"/>
      <c r="RIL552"/>
      <c r="RIM552"/>
      <c r="RIN552"/>
      <c r="RIO552"/>
      <c r="RIP552"/>
      <c r="RIQ552"/>
      <c r="RIR552"/>
      <c r="RIS552"/>
      <c r="RIT552"/>
      <c r="RIU552"/>
      <c r="RIV552"/>
      <c r="RIW552"/>
      <c r="RIX552"/>
      <c r="RIY552"/>
      <c r="RIZ552"/>
      <c r="RJA552"/>
      <c r="RJB552"/>
      <c r="RJC552"/>
      <c r="RJD552"/>
      <c r="RJE552"/>
      <c r="RJF552"/>
      <c r="RJG552"/>
      <c r="RJH552"/>
      <c r="RJI552"/>
      <c r="RJJ552"/>
      <c r="RJK552"/>
      <c r="RJL552"/>
      <c r="RJM552"/>
      <c r="RJN552"/>
      <c r="RJO552"/>
      <c r="RJP552"/>
      <c r="RJQ552"/>
      <c r="RJR552"/>
      <c r="RJS552"/>
      <c r="RJT552"/>
      <c r="RJU552"/>
      <c r="RJV552"/>
      <c r="RJW552"/>
      <c r="RJX552"/>
      <c r="RJY552"/>
      <c r="RJZ552"/>
      <c r="RKA552"/>
      <c r="RKB552"/>
      <c r="RKC552"/>
      <c r="RKD552"/>
      <c r="RKE552"/>
      <c r="RKF552"/>
      <c r="RKG552"/>
      <c r="RKH552"/>
      <c r="RKI552"/>
      <c r="RKJ552"/>
      <c r="RKK552"/>
      <c r="RKL552"/>
      <c r="RKM552"/>
      <c r="RKN552"/>
      <c r="RKO552"/>
      <c r="RKP552"/>
      <c r="RKQ552"/>
      <c r="RKR552"/>
      <c r="RKS552"/>
      <c r="RKT552"/>
      <c r="RKU552"/>
      <c r="RKV552"/>
      <c r="RKW552"/>
      <c r="RKX552"/>
      <c r="RKY552"/>
      <c r="RKZ552"/>
      <c r="RLA552"/>
      <c r="RLB552"/>
      <c r="RLC552"/>
      <c r="RLD552"/>
      <c r="RLE552"/>
      <c r="RLF552"/>
      <c r="RLG552"/>
      <c r="RLH552"/>
      <c r="RLI552"/>
      <c r="RLJ552"/>
      <c r="RLK552"/>
      <c r="RLL552"/>
      <c r="RLM552"/>
      <c r="RLN552"/>
      <c r="RLO552"/>
      <c r="RLP552"/>
      <c r="RLQ552"/>
      <c r="RLR552"/>
      <c r="RLS552"/>
      <c r="RLT552"/>
      <c r="RLU552"/>
      <c r="RLV552"/>
      <c r="RLW552"/>
      <c r="RLX552"/>
      <c r="RLY552"/>
      <c r="RLZ552"/>
      <c r="RMA552"/>
      <c r="RMB552"/>
      <c r="RMC552"/>
      <c r="RMD552"/>
      <c r="RME552"/>
      <c r="RMF552"/>
      <c r="RMG552"/>
      <c r="RMH552"/>
      <c r="RMI552"/>
      <c r="RMJ552"/>
      <c r="RMK552"/>
      <c r="RML552"/>
      <c r="RMM552"/>
      <c r="RMN552"/>
      <c r="RMO552"/>
      <c r="RMP552"/>
      <c r="RMQ552"/>
      <c r="RMR552"/>
      <c r="RMS552"/>
      <c r="RMT552"/>
      <c r="RMU552"/>
      <c r="RMV552"/>
      <c r="RMW552"/>
      <c r="RMX552"/>
      <c r="RMY552"/>
      <c r="RMZ552"/>
      <c r="RNA552"/>
      <c r="RNB552"/>
      <c r="RNC552"/>
      <c r="RND552"/>
      <c r="RNE552"/>
      <c r="RNF552"/>
      <c r="RNG552"/>
      <c r="RNH552"/>
      <c r="RNI552"/>
      <c r="RNJ552"/>
      <c r="RNK552"/>
      <c r="RNL552"/>
      <c r="RNM552"/>
      <c r="RNN552"/>
      <c r="RNO552"/>
      <c r="RNP552"/>
      <c r="RNQ552"/>
      <c r="RNR552"/>
      <c r="RNS552"/>
      <c r="RNT552"/>
      <c r="RNU552"/>
      <c r="RNV552"/>
      <c r="RNW552"/>
      <c r="RNX552"/>
      <c r="RNY552"/>
      <c r="RNZ552"/>
      <c r="ROA552"/>
      <c r="ROB552"/>
      <c r="ROC552"/>
      <c r="ROD552"/>
      <c r="ROE552"/>
      <c r="ROF552"/>
      <c r="ROG552"/>
      <c r="ROH552"/>
      <c r="ROI552"/>
      <c r="ROJ552"/>
      <c r="ROK552"/>
      <c r="ROL552"/>
      <c r="ROM552"/>
      <c r="RON552"/>
      <c r="ROO552"/>
      <c r="ROP552"/>
      <c r="ROQ552"/>
      <c r="ROR552"/>
      <c r="ROS552"/>
      <c r="ROT552"/>
      <c r="ROU552"/>
      <c r="ROV552"/>
      <c r="ROW552"/>
      <c r="ROX552"/>
      <c r="ROY552"/>
      <c r="ROZ552"/>
      <c r="RPA552"/>
      <c r="RPB552"/>
      <c r="RPC552"/>
      <c r="RPD552"/>
      <c r="RPE552"/>
      <c r="RPF552"/>
      <c r="RPG552"/>
      <c r="RPH552"/>
      <c r="RPI552"/>
      <c r="RPJ552"/>
      <c r="RPK552"/>
      <c r="RPL552"/>
      <c r="RPM552"/>
      <c r="RPN552"/>
      <c r="RPO552"/>
      <c r="RPP552"/>
      <c r="RPQ552"/>
      <c r="RPR552"/>
      <c r="RPS552"/>
      <c r="RPT552"/>
      <c r="RPU552"/>
      <c r="RPV552"/>
      <c r="RPW552"/>
      <c r="RPX552"/>
      <c r="RPY552"/>
      <c r="RPZ552"/>
      <c r="RQA552"/>
      <c r="RQB552"/>
      <c r="RQC552"/>
      <c r="RQD552"/>
      <c r="RQE552"/>
      <c r="RQF552"/>
      <c r="RQG552"/>
      <c r="RQH552"/>
      <c r="RQI552"/>
      <c r="RQJ552"/>
      <c r="RQK552"/>
      <c r="RQL552"/>
      <c r="RQM552"/>
      <c r="RQN552"/>
      <c r="RQO552"/>
      <c r="RQP552"/>
      <c r="RQQ552"/>
      <c r="RQR552"/>
      <c r="RQS552"/>
      <c r="RQT552"/>
      <c r="RQU552"/>
      <c r="RQV552"/>
      <c r="RQW552"/>
      <c r="RQX552"/>
      <c r="RQY552"/>
      <c r="RQZ552"/>
      <c r="RRA552"/>
      <c r="RRB552"/>
      <c r="RRC552"/>
      <c r="RRD552"/>
      <c r="RRE552"/>
      <c r="RRF552"/>
      <c r="RRG552"/>
      <c r="RRH552"/>
      <c r="RRI552"/>
      <c r="RRJ552"/>
      <c r="RRK552"/>
      <c r="RRL552"/>
      <c r="RRM552"/>
      <c r="RRN552"/>
      <c r="RRO552"/>
      <c r="RRP552"/>
      <c r="RRQ552"/>
      <c r="RRR552"/>
      <c r="RRS552"/>
      <c r="RRT552"/>
      <c r="RRU552"/>
      <c r="RRV552"/>
      <c r="RRW552"/>
      <c r="RRX552"/>
      <c r="RRY552"/>
      <c r="RRZ552"/>
      <c r="RSA552"/>
      <c r="RSB552"/>
      <c r="RSC552"/>
      <c r="RSD552"/>
      <c r="RSE552"/>
      <c r="RSF552"/>
      <c r="RSG552"/>
      <c r="RSH552"/>
      <c r="RSI552"/>
      <c r="RSJ552"/>
      <c r="RSK552"/>
      <c r="RSL552"/>
      <c r="RSM552"/>
      <c r="RSN552"/>
      <c r="RSO552"/>
      <c r="RSP552"/>
      <c r="RSQ552"/>
      <c r="RSR552"/>
      <c r="RSS552"/>
      <c r="RST552"/>
      <c r="RSU552"/>
      <c r="RSV552"/>
      <c r="RSW552"/>
      <c r="RSX552"/>
      <c r="RSY552"/>
      <c r="RSZ552"/>
      <c r="RTA552"/>
      <c r="RTB552"/>
      <c r="RTC552"/>
      <c r="RTD552"/>
      <c r="RTE552"/>
      <c r="RTF552"/>
      <c r="RTG552"/>
      <c r="RTH552"/>
      <c r="RTI552"/>
      <c r="RTJ552"/>
      <c r="RTK552"/>
      <c r="RTL552"/>
      <c r="RTM552"/>
      <c r="RTN552"/>
      <c r="RTO552"/>
      <c r="RTP552"/>
      <c r="RTQ552"/>
      <c r="RTR552"/>
      <c r="RTS552"/>
      <c r="RTT552"/>
      <c r="RTU552"/>
      <c r="RTV552"/>
      <c r="RTW552"/>
      <c r="RTX552"/>
      <c r="RTY552"/>
      <c r="RTZ552"/>
      <c r="RUA552"/>
      <c r="RUB552"/>
      <c r="RUC552"/>
      <c r="RUD552"/>
      <c r="RUE552"/>
      <c r="RUF552"/>
      <c r="RUG552"/>
      <c r="RUH552"/>
      <c r="RUI552"/>
      <c r="RUJ552"/>
      <c r="RUK552"/>
      <c r="RUL552"/>
      <c r="RUM552"/>
      <c r="RUN552"/>
      <c r="RUO552"/>
      <c r="RUP552"/>
      <c r="RUQ552"/>
      <c r="RUR552"/>
      <c r="RUS552"/>
      <c r="RUT552"/>
      <c r="RUU552"/>
      <c r="RUV552"/>
      <c r="RUW552"/>
      <c r="RUX552"/>
      <c r="RUY552"/>
      <c r="RUZ552"/>
      <c r="RVA552"/>
      <c r="RVB552"/>
      <c r="RVC552"/>
      <c r="RVD552"/>
      <c r="RVE552"/>
      <c r="RVF552"/>
      <c r="RVG552"/>
      <c r="RVH552"/>
      <c r="RVI552"/>
      <c r="RVJ552"/>
      <c r="RVK552"/>
      <c r="RVL552"/>
      <c r="RVM552"/>
      <c r="RVN552"/>
      <c r="RVO552"/>
      <c r="RVP552"/>
      <c r="RVQ552"/>
      <c r="RVR552"/>
      <c r="RVS552"/>
      <c r="RVT552"/>
      <c r="RVU552"/>
      <c r="RVV552"/>
      <c r="RVW552"/>
      <c r="RVX552"/>
      <c r="RVY552"/>
      <c r="RVZ552"/>
      <c r="RWA552"/>
      <c r="RWB552"/>
      <c r="RWC552"/>
      <c r="RWD552"/>
      <c r="RWE552"/>
      <c r="RWF552"/>
      <c r="RWG552"/>
      <c r="RWH552"/>
      <c r="RWI552"/>
      <c r="RWJ552"/>
      <c r="RWK552"/>
      <c r="RWL552"/>
      <c r="RWM552"/>
      <c r="RWN552"/>
      <c r="RWO552"/>
      <c r="RWP552"/>
      <c r="RWQ552"/>
      <c r="RWR552"/>
      <c r="RWS552"/>
      <c r="RWT552"/>
      <c r="RWU552"/>
      <c r="RWV552"/>
      <c r="RWW552"/>
      <c r="RWX552"/>
      <c r="RWY552"/>
      <c r="RWZ552"/>
      <c r="RXA552"/>
      <c r="RXB552"/>
      <c r="RXC552"/>
      <c r="RXD552"/>
      <c r="RXE552"/>
      <c r="RXF552"/>
      <c r="RXG552"/>
      <c r="RXH552"/>
      <c r="RXI552"/>
      <c r="RXJ552"/>
      <c r="RXK552"/>
      <c r="RXL552"/>
      <c r="RXM552"/>
      <c r="RXN552"/>
      <c r="RXO552"/>
      <c r="RXP552"/>
      <c r="RXQ552"/>
      <c r="RXR552"/>
      <c r="RXS552"/>
      <c r="RXT552"/>
      <c r="RXU552"/>
      <c r="RXV552"/>
      <c r="RXW552"/>
      <c r="RXX552"/>
      <c r="RXY552"/>
      <c r="RXZ552"/>
      <c r="RYA552"/>
      <c r="RYB552"/>
      <c r="RYC552"/>
      <c r="RYD552"/>
      <c r="RYE552"/>
      <c r="RYF552"/>
      <c r="RYG552"/>
      <c r="RYH552"/>
      <c r="RYI552"/>
      <c r="RYJ552"/>
      <c r="RYK552"/>
      <c r="RYL552"/>
      <c r="RYM552"/>
      <c r="RYN552"/>
      <c r="RYO552"/>
      <c r="RYP552"/>
      <c r="RYQ552"/>
      <c r="RYR552"/>
      <c r="RYS552"/>
      <c r="RYT552"/>
      <c r="RYU552"/>
      <c r="RYV552"/>
      <c r="RYW552"/>
      <c r="RYX552"/>
      <c r="RYY552"/>
      <c r="RYZ552"/>
      <c r="RZA552"/>
      <c r="RZB552"/>
      <c r="RZC552"/>
      <c r="RZD552"/>
      <c r="RZE552"/>
      <c r="RZF552"/>
      <c r="RZG552"/>
      <c r="RZH552"/>
      <c r="RZI552"/>
      <c r="RZJ552"/>
      <c r="RZK552"/>
      <c r="RZL552"/>
      <c r="RZM552"/>
      <c r="RZN552"/>
      <c r="RZO552"/>
      <c r="RZP552"/>
      <c r="RZQ552"/>
      <c r="RZR552"/>
      <c r="RZS552"/>
      <c r="RZT552"/>
      <c r="RZU552"/>
      <c r="RZV552"/>
      <c r="RZW552"/>
      <c r="RZX552"/>
      <c r="RZY552"/>
      <c r="RZZ552"/>
      <c r="SAA552"/>
      <c r="SAB552"/>
      <c r="SAC552"/>
      <c r="SAD552"/>
      <c r="SAE552"/>
      <c r="SAF552"/>
      <c r="SAG552"/>
      <c r="SAH552"/>
      <c r="SAI552"/>
      <c r="SAJ552"/>
      <c r="SAK552"/>
      <c r="SAL552"/>
      <c r="SAM552"/>
      <c r="SAN552"/>
      <c r="SAO552"/>
      <c r="SAP552"/>
      <c r="SAQ552"/>
      <c r="SAR552"/>
      <c r="SAS552"/>
      <c r="SAT552"/>
      <c r="SAU552"/>
      <c r="SAV552"/>
      <c r="SAW552"/>
      <c r="SAX552"/>
      <c r="SAY552"/>
      <c r="SAZ552"/>
      <c r="SBA552"/>
      <c r="SBB552"/>
      <c r="SBC552"/>
      <c r="SBD552"/>
      <c r="SBE552"/>
      <c r="SBF552"/>
      <c r="SBG552"/>
      <c r="SBH552"/>
      <c r="SBI552"/>
      <c r="SBJ552"/>
      <c r="SBK552"/>
      <c r="SBL552"/>
      <c r="SBM552"/>
      <c r="SBN552"/>
      <c r="SBO552"/>
      <c r="SBP552"/>
      <c r="SBQ552"/>
      <c r="SBR552"/>
      <c r="SBS552"/>
      <c r="SBT552"/>
      <c r="SBU552"/>
      <c r="SBV552"/>
      <c r="SBW552"/>
      <c r="SBX552"/>
      <c r="SBY552"/>
      <c r="SBZ552"/>
      <c r="SCA552"/>
      <c r="SCB552"/>
      <c r="SCC552"/>
      <c r="SCD552"/>
      <c r="SCE552"/>
      <c r="SCF552"/>
      <c r="SCG552"/>
      <c r="SCH552"/>
      <c r="SCI552"/>
      <c r="SCJ552"/>
      <c r="SCK552"/>
      <c r="SCL552"/>
      <c r="SCM552"/>
      <c r="SCN552"/>
      <c r="SCO552"/>
      <c r="SCP552"/>
      <c r="SCQ552"/>
      <c r="SCR552"/>
      <c r="SCS552"/>
      <c r="SCT552"/>
      <c r="SCU552"/>
      <c r="SCV552"/>
      <c r="SCW552"/>
      <c r="SCX552"/>
      <c r="SCY552"/>
      <c r="SCZ552"/>
      <c r="SDA552"/>
      <c r="SDB552"/>
      <c r="SDC552"/>
      <c r="SDD552"/>
      <c r="SDE552"/>
      <c r="SDF552"/>
      <c r="SDG552"/>
      <c r="SDH552"/>
      <c r="SDI552"/>
      <c r="SDJ552"/>
      <c r="SDK552"/>
      <c r="SDL552"/>
      <c r="SDM552"/>
      <c r="SDN552"/>
      <c r="SDO552"/>
      <c r="SDP552"/>
      <c r="SDQ552"/>
      <c r="SDR552"/>
      <c r="SDS552"/>
      <c r="SDT552"/>
      <c r="SDU552"/>
      <c r="SDV552"/>
      <c r="SDW552"/>
      <c r="SDX552"/>
      <c r="SDY552"/>
      <c r="SDZ552"/>
      <c r="SEA552"/>
      <c r="SEB552"/>
      <c r="SEC552"/>
      <c r="SED552"/>
      <c r="SEE552"/>
      <c r="SEF552"/>
      <c r="SEG552"/>
      <c r="SEH552"/>
      <c r="SEI552"/>
      <c r="SEJ552"/>
      <c r="SEK552"/>
      <c r="SEL552"/>
      <c r="SEM552"/>
      <c r="SEN552"/>
      <c r="SEO552"/>
      <c r="SEP552"/>
      <c r="SEQ552"/>
      <c r="SER552"/>
      <c r="SES552"/>
      <c r="SET552"/>
      <c r="SEU552"/>
      <c r="SEV552"/>
      <c r="SEW552"/>
      <c r="SEX552"/>
      <c r="SEY552"/>
      <c r="SEZ552"/>
      <c r="SFA552"/>
      <c r="SFB552"/>
      <c r="SFC552"/>
      <c r="SFD552"/>
      <c r="SFE552"/>
      <c r="SFF552"/>
      <c r="SFG552"/>
      <c r="SFH552"/>
      <c r="SFI552"/>
      <c r="SFJ552"/>
      <c r="SFK552"/>
      <c r="SFL552"/>
      <c r="SFM552"/>
      <c r="SFN552"/>
      <c r="SFO552"/>
      <c r="SFP552"/>
      <c r="SFQ552"/>
      <c r="SFR552"/>
      <c r="SFS552"/>
      <c r="SFT552"/>
      <c r="SFU552"/>
      <c r="SFV552"/>
      <c r="SFW552"/>
      <c r="SFX552"/>
      <c r="SFY552"/>
      <c r="SFZ552"/>
      <c r="SGA552"/>
      <c r="SGB552"/>
      <c r="SGC552"/>
      <c r="SGD552"/>
      <c r="SGE552"/>
      <c r="SGF552"/>
      <c r="SGG552"/>
      <c r="SGH552"/>
      <c r="SGI552"/>
      <c r="SGJ552"/>
      <c r="SGK552"/>
      <c r="SGL552"/>
      <c r="SGM552"/>
      <c r="SGN552"/>
      <c r="SGO552"/>
      <c r="SGP552"/>
      <c r="SGQ552"/>
      <c r="SGR552"/>
      <c r="SGS552"/>
      <c r="SGT552"/>
      <c r="SGU552"/>
      <c r="SGV552"/>
      <c r="SGW552"/>
      <c r="SGX552"/>
      <c r="SGY552"/>
      <c r="SGZ552"/>
      <c r="SHA552"/>
      <c r="SHB552"/>
      <c r="SHC552"/>
      <c r="SHD552"/>
      <c r="SHE552"/>
      <c r="SHF552"/>
      <c r="SHG552"/>
      <c r="SHH552"/>
      <c r="SHI552"/>
      <c r="SHJ552"/>
      <c r="SHK552"/>
      <c r="SHL552"/>
      <c r="SHM552"/>
      <c r="SHN552"/>
      <c r="SHO552"/>
      <c r="SHP552"/>
      <c r="SHQ552"/>
      <c r="SHR552"/>
      <c r="SHS552"/>
      <c r="SHT552"/>
      <c r="SHU552"/>
      <c r="SHV552"/>
      <c r="SHW552"/>
      <c r="SHX552"/>
      <c r="SHY552"/>
      <c r="SHZ552"/>
      <c r="SIA552"/>
      <c r="SIB552"/>
      <c r="SIC552"/>
      <c r="SID552"/>
      <c r="SIE552"/>
      <c r="SIF552"/>
      <c r="SIG552"/>
      <c r="SIH552"/>
      <c r="SII552"/>
      <c r="SIJ552"/>
      <c r="SIK552"/>
      <c r="SIL552"/>
      <c r="SIM552"/>
      <c r="SIN552"/>
      <c r="SIO552"/>
      <c r="SIP552"/>
      <c r="SIQ552"/>
      <c r="SIR552"/>
      <c r="SIS552"/>
      <c r="SIT552"/>
      <c r="SIU552"/>
      <c r="SIV552"/>
      <c r="SIW552"/>
      <c r="SIX552"/>
      <c r="SIY552"/>
      <c r="SIZ552"/>
      <c r="SJA552"/>
      <c r="SJB552"/>
      <c r="SJC552"/>
      <c r="SJD552"/>
      <c r="SJE552"/>
      <c r="SJF552"/>
      <c r="SJG552"/>
      <c r="SJH552"/>
      <c r="SJI552"/>
      <c r="SJJ552"/>
      <c r="SJK552"/>
      <c r="SJL552"/>
      <c r="SJM552"/>
      <c r="SJN552"/>
      <c r="SJO552"/>
      <c r="SJP552"/>
      <c r="SJQ552"/>
      <c r="SJR552"/>
      <c r="SJS552"/>
      <c r="SJT552"/>
      <c r="SJU552"/>
      <c r="SJV552"/>
      <c r="SJW552"/>
      <c r="SJX552"/>
      <c r="SJY552"/>
      <c r="SJZ552"/>
      <c r="SKA552"/>
      <c r="SKB552"/>
      <c r="SKC552"/>
      <c r="SKD552"/>
      <c r="SKE552"/>
      <c r="SKF552"/>
      <c r="SKG552"/>
      <c r="SKH552"/>
      <c r="SKI552"/>
      <c r="SKJ552"/>
      <c r="SKK552"/>
      <c r="SKL552"/>
      <c r="SKM552"/>
      <c r="SKN552"/>
      <c r="SKO552"/>
      <c r="SKP552"/>
      <c r="SKQ552"/>
      <c r="SKR552"/>
      <c r="SKS552"/>
      <c r="SKT552"/>
      <c r="SKU552"/>
      <c r="SKV552"/>
      <c r="SKW552"/>
      <c r="SKX552"/>
      <c r="SKY552"/>
      <c r="SKZ552"/>
      <c r="SLA552"/>
      <c r="SLB552"/>
      <c r="SLC552"/>
      <c r="SLD552"/>
      <c r="SLE552"/>
      <c r="SLF552"/>
      <c r="SLG552"/>
      <c r="SLH552"/>
      <c r="SLI552"/>
      <c r="SLJ552"/>
      <c r="SLK552"/>
      <c r="SLL552"/>
      <c r="SLM552"/>
      <c r="SLN552"/>
      <c r="SLO552"/>
      <c r="SLP552"/>
      <c r="SLQ552"/>
      <c r="SLR552"/>
      <c r="SLS552"/>
      <c r="SLT552"/>
      <c r="SLU552"/>
      <c r="SLV552"/>
      <c r="SLW552"/>
      <c r="SLX552"/>
      <c r="SLY552"/>
      <c r="SLZ552"/>
      <c r="SMA552"/>
      <c r="SMB552"/>
      <c r="SMC552"/>
      <c r="SMD552"/>
      <c r="SME552"/>
      <c r="SMF552"/>
      <c r="SMG552"/>
      <c r="SMH552"/>
      <c r="SMI552"/>
      <c r="SMJ552"/>
      <c r="SMK552"/>
      <c r="SML552"/>
      <c r="SMM552"/>
      <c r="SMN552"/>
      <c r="SMO552"/>
      <c r="SMP552"/>
      <c r="SMQ552"/>
      <c r="SMR552"/>
      <c r="SMS552"/>
      <c r="SMT552"/>
      <c r="SMU552"/>
      <c r="SMV552"/>
      <c r="SMW552"/>
      <c r="SMX552"/>
      <c r="SMY552"/>
      <c r="SMZ552"/>
      <c r="SNA552"/>
      <c r="SNB552"/>
      <c r="SNC552"/>
      <c r="SND552"/>
      <c r="SNE552"/>
      <c r="SNF552"/>
      <c r="SNG552"/>
      <c r="SNH552"/>
      <c r="SNI552"/>
      <c r="SNJ552"/>
      <c r="SNK552"/>
      <c r="SNL552"/>
      <c r="SNM552"/>
      <c r="SNN552"/>
      <c r="SNO552"/>
      <c r="SNP552"/>
      <c r="SNQ552"/>
      <c r="SNR552"/>
      <c r="SNS552"/>
      <c r="SNT552"/>
      <c r="SNU552"/>
      <c r="SNV552"/>
      <c r="SNW552"/>
      <c r="SNX552"/>
      <c r="SNY552"/>
      <c r="SNZ552"/>
      <c r="SOA552"/>
      <c r="SOB552"/>
      <c r="SOC552"/>
      <c r="SOD552"/>
      <c r="SOE552"/>
      <c r="SOF552"/>
      <c r="SOG552"/>
      <c r="SOH552"/>
      <c r="SOI552"/>
      <c r="SOJ552"/>
      <c r="SOK552"/>
      <c r="SOL552"/>
      <c r="SOM552"/>
      <c r="SON552"/>
      <c r="SOO552"/>
      <c r="SOP552"/>
      <c r="SOQ552"/>
      <c r="SOR552"/>
      <c r="SOS552"/>
      <c r="SOT552"/>
      <c r="SOU552"/>
      <c r="SOV552"/>
      <c r="SOW552"/>
      <c r="SOX552"/>
      <c r="SOY552"/>
      <c r="SOZ552"/>
      <c r="SPA552"/>
      <c r="SPB552"/>
      <c r="SPC552"/>
      <c r="SPD552"/>
      <c r="SPE552"/>
      <c r="SPF552"/>
      <c r="SPG552"/>
      <c r="SPH552"/>
      <c r="SPI552"/>
      <c r="SPJ552"/>
      <c r="SPK552"/>
      <c r="SPL552"/>
      <c r="SPM552"/>
      <c r="SPN552"/>
      <c r="SPO552"/>
      <c r="SPP552"/>
      <c r="SPQ552"/>
      <c r="SPR552"/>
      <c r="SPS552"/>
      <c r="SPT552"/>
      <c r="SPU552"/>
      <c r="SPV552"/>
      <c r="SPW552"/>
      <c r="SPX552"/>
      <c r="SPY552"/>
      <c r="SPZ552"/>
      <c r="SQA552"/>
      <c r="SQB552"/>
      <c r="SQC552"/>
      <c r="SQD552"/>
      <c r="SQE552"/>
      <c r="SQF552"/>
      <c r="SQG552"/>
      <c r="SQH552"/>
      <c r="SQI552"/>
      <c r="SQJ552"/>
      <c r="SQK552"/>
      <c r="SQL552"/>
      <c r="SQM552"/>
      <c r="SQN552"/>
      <c r="SQO552"/>
      <c r="SQP552"/>
      <c r="SQQ552"/>
      <c r="SQR552"/>
      <c r="SQS552"/>
      <c r="SQT552"/>
      <c r="SQU552"/>
      <c r="SQV552"/>
      <c r="SQW552"/>
      <c r="SQX552"/>
      <c r="SQY552"/>
      <c r="SQZ552"/>
      <c r="SRA552"/>
      <c r="SRB552"/>
      <c r="SRC552"/>
      <c r="SRD552"/>
      <c r="SRE552"/>
      <c r="SRF552"/>
      <c r="SRG552"/>
      <c r="SRH552"/>
      <c r="SRI552"/>
      <c r="SRJ552"/>
      <c r="SRK552"/>
      <c r="SRL552"/>
      <c r="SRM552"/>
      <c r="SRN552"/>
      <c r="SRO552"/>
      <c r="SRP552"/>
      <c r="SRQ552"/>
      <c r="SRR552"/>
      <c r="SRS552"/>
      <c r="SRT552"/>
      <c r="SRU552"/>
      <c r="SRV552"/>
      <c r="SRW552"/>
      <c r="SRX552"/>
      <c r="SRY552"/>
      <c r="SRZ552"/>
      <c r="SSA552"/>
      <c r="SSB552"/>
      <c r="SSC552"/>
      <c r="SSD552"/>
      <c r="SSE552"/>
      <c r="SSF552"/>
      <c r="SSG552"/>
      <c r="SSH552"/>
      <c r="SSI552"/>
      <c r="SSJ552"/>
      <c r="SSK552"/>
      <c r="SSL552"/>
      <c r="SSM552"/>
      <c r="SSN552"/>
      <c r="SSO552"/>
      <c r="SSP552"/>
      <c r="SSQ552"/>
      <c r="SSR552"/>
      <c r="SSS552"/>
      <c r="SST552"/>
      <c r="SSU552"/>
      <c r="SSV552"/>
      <c r="SSW552"/>
      <c r="SSX552"/>
      <c r="SSY552"/>
      <c r="SSZ552"/>
      <c r="STA552"/>
      <c r="STB552"/>
      <c r="STC552"/>
      <c r="STD552"/>
      <c r="STE552"/>
      <c r="STF552"/>
      <c r="STG552"/>
      <c r="STH552"/>
      <c r="STI552"/>
      <c r="STJ552"/>
      <c r="STK552"/>
      <c r="STL552"/>
      <c r="STM552"/>
      <c r="STN552"/>
      <c r="STO552"/>
      <c r="STP552"/>
      <c r="STQ552"/>
      <c r="STR552"/>
      <c r="STS552"/>
      <c r="STT552"/>
      <c r="STU552"/>
      <c r="STV552"/>
      <c r="STW552"/>
      <c r="STX552"/>
      <c r="STY552"/>
      <c r="STZ552"/>
      <c r="SUA552"/>
      <c r="SUB552"/>
      <c r="SUC552"/>
      <c r="SUD552"/>
      <c r="SUE552"/>
      <c r="SUF552"/>
      <c r="SUG552"/>
      <c r="SUH552"/>
      <c r="SUI552"/>
      <c r="SUJ552"/>
      <c r="SUK552"/>
      <c r="SUL552"/>
      <c r="SUM552"/>
      <c r="SUN552"/>
      <c r="SUO552"/>
      <c r="SUP552"/>
      <c r="SUQ552"/>
      <c r="SUR552"/>
      <c r="SUS552"/>
      <c r="SUT552"/>
      <c r="SUU552"/>
      <c r="SUV552"/>
      <c r="SUW552"/>
      <c r="SUX552"/>
      <c r="SUY552"/>
      <c r="SUZ552"/>
      <c r="SVA552"/>
      <c r="SVB552"/>
      <c r="SVC552"/>
      <c r="SVD552"/>
      <c r="SVE552"/>
      <c r="SVF552"/>
      <c r="SVG552"/>
      <c r="SVH552"/>
      <c r="SVI552"/>
      <c r="SVJ552"/>
      <c r="SVK552"/>
      <c r="SVL552"/>
      <c r="SVM552"/>
      <c r="SVN552"/>
      <c r="SVO552"/>
      <c r="SVP552"/>
      <c r="SVQ552"/>
      <c r="SVR552"/>
      <c r="SVS552"/>
      <c r="SVT552"/>
      <c r="SVU552"/>
      <c r="SVV552"/>
      <c r="SVW552"/>
      <c r="SVX552"/>
      <c r="SVY552"/>
      <c r="SVZ552"/>
      <c r="SWA552"/>
      <c r="SWB552"/>
      <c r="SWC552"/>
      <c r="SWD552"/>
      <c r="SWE552"/>
      <c r="SWF552"/>
      <c r="SWG552"/>
      <c r="SWH552"/>
      <c r="SWI552"/>
      <c r="SWJ552"/>
      <c r="SWK552"/>
      <c r="SWL552"/>
      <c r="SWM552"/>
      <c r="SWN552"/>
      <c r="SWO552"/>
      <c r="SWP552"/>
      <c r="SWQ552"/>
      <c r="SWR552"/>
      <c r="SWS552"/>
      <c r="SWT552"/>
      <c r="SWU552"/>
      <c r="SWV552"/>
      <c r="SWW552"/>
      <c r="SWX552"/>
      <c r="SWY552"/>
      <c r="SWZ552"/>
      <c r="SXA552"/>
      <c r="SXB552"/>
      <c r="SXC552"/>
      <c r="SXD552"/>
      <c r="SXE552"/>
      <c r="SXF552"/>
      <c r="SXG552"/>
      <c r="SXH552"/>
      <c r="SXI552"/>
      <c r="SXJ552"/>
      <c r="SXK552"/>
      <c r="SXL552"/>
      <c r="SXM552"/>
      <c r="SXN552"/>
      <c r="SXO552"/>
      <c r="SXP552"/>
      <c r="SXQ552"/>
      <c r="SXR552"/>
      <c r="SXS552"/>
      <c r="SXT552"/>
      <c r="SXU552"/>
      <c r="SXV552"/>
      <c r="SXW552"/>
      <c r="SXX552"/>
      <c r="SXY552"/>
      <c r="SXZ552"/>
      <c r="SYA552"/>
      <c r="SYB552"/>
      <c r="SYC552"/>
      <c r="SYD552"/>
      <c r="SYE552"/>
      <c r="SYF552"/>
      <c r="SYG552"/>
      <c r="SYH552"/>
      <c r="SYI552"/>
      <c r="SYJ552"/>
      <c r="SYK552"/>
      <c r="SYL552"/>
      <c r="SYM552"/>
      <c r="SYN552"/>
      <c r="SYO552"/>
      <c r="SYP552"/>
      <c r="SYQ552"/>
      <c r="SYR552"/>
      <c r="SYS552"/>
      <c r="SYT552"/>
      <c r="SYU552"/>
      <c r="SYV552"/>
      <c r="SYW552"/>
      <c r="SYX552"/>
      <c r="SYY552"/>
      <c r="SYZ552"/>
      <c r="SZA552"/>
      <c r="SZB552"/>
      <c r="SZC552"/>
      <c r="SZD552"/>
      <c r="SZE552"/>
      <c r="SZF552"/>
      <c r="SZG552"/>
      <c r="SZH552"/>
      <c r="SZI552"/>
      <c r="SZJ552"/>
      <c r="SZK552"/>
      <c r="SZL552"/>
      <c r="SZM552"/>
      <c r="SZN552"/>
      <c r="SZO552"/>
      <c r="SZP552"/>
      <c r="SZQ552"/>
      <c r="SZR552"/>
      <c r="SZS552"/>
      <c r="SZT552"/>
      <c r="SZU552"/>
      <c r="SZV552"/>
      <c r="SZW552"/>
      <c r="SZX552"/>
      <c r="SZY552"/>
      <c r="SZZ552"/>
      <c r="TAA552"/>
      <c r="TAB552"/>
      <c r="TAC552"/>
      <c r="TAD552"/>
      <c r="TAE552"/>
      <c r="TAF552"/>
      <c r="TAG552"/>
      <c r="TAH552"/>
      <c r="TAI552"/>
      <c r="TAJ552"/>
      <c r="TAK552"/>
      <c r="TAL552"/>
      <c r="TAM552"/>
      <c r="TAN552"/>
      <c r="TAO552"/>
      <c r="TAP552"/>
      <c r="TAQ552"/>
      <c r="TAR552"/>
      <c r="TAS552"/>
      <c r="TAT552"/>
      <c r="TAU552"/>
      <c r="TAV552"/>
      <c r="TAW552"/>
      <c r="TAX552"/>
      <c r="TAY552"/>
      <c r="TAZ552"/>
      <c r="TBA552"/>
      <c r="TBB552"/>
      <c r="TBC552"/>
      <c r="TBD552"/>
      <c r="TBE552"/>
      <c r="TBF552"/>
      <c r="TBG552"/>
      <c r="TBH552"/>
      <c r="TBI552"/>
      <c r="TBJ552"/>
      <c r="TBK552"/>
      <c r="TBL552"/>
      <c r="TBM552"/>
      <c r="TBN552"/>
      <c r="TBO552"/>
      <c r="TBP552"/>
      <c r="TBQ552"/>
      <c r="TBR552"/>
      <c r="TBS552"/>
      <c r="TBT552"/>
      <c r="TBU552"/>
      <c r="TBV552"/>
      <c r="TBW552"/>
      <c r="TBX552"/>
      <c r="TBY552"/>
      <c r="TBZ552"/>
      <c r="TCA552"/>
      <c r="TCB552"/>
      <c r="TCC552"/>
      <c r="TCD552"/>
      <c r="TCE552"/>
      <c r="TCF552"/>
      <c r="TCG552"/>
      <c r="TCH552"/>
      <c r="TCI552"/>
      <c r="TCJ552"/>
      <c r="TCK552"/>
      <c r="TCL552"/>
      <c r="TCM552"/>
      <c r="TCN552"/>
      <c r="TCO552"/>
      <c r="TCP552"/>
      <c r="TCQ552"/>
      <c r="TCR552"/>
      <c r="TCS552"/>
      <c r="TCT552"/>
      <c r="TCU552"/>
      <c r="TCV552"/>
      <c r="TCW552"/>
      <c r="TCX552"/>
      <c r="TCY552"/>
      <c r="TCZ552"/>
      <c r="TDA552"/>
      <c r="TDB552"/>
      <c r="TDC552"/>
      <c r="TDD552"/>
      <c r="TDE552"/>
      <c r="TDF552"/>
      <c r="TDG552"/>
      <c r="TDH552"/>
      <c r="TDI552"/>
      <c r="TDJ552"/>
      <c r="TDK552"/>
      <c r="TDL552"/>
      <c r="TDM552"/>
      <c r="TDN552"/>
      <c r="TDO552"/>
      <c r="TDP552"/>
      <c r="TDQ552"/>
      <c r="TDR552"/>
      <c r="TDS552"/>
      <c r="TDT552"/>
      <c r="TDU552"/>
      <c r="TDV552"/>
      <c r="TDW552"/>
      <c r="TDX552"/>
      <c r="TDY552"/>
      <c r="TDZ552"/>
      <c r="TEA552"/>
      <c r="TEB552"/>
      <c r="TEC552"/>
      <c r="TED552"/>
      <c r="TEE552"/>
      <c r="TEF552"/>
      <c r="TEG552"/>
      <c r="TEH552"/>
      <c r="TEI552"/>
      <c r="TEJ552"/>
      <c r="TEK552"/>
      <c r="TEL552"/>
      <c r="TEM552"/>
      <c r="TEN552"/>
      <c r="TEO552"/>
      <c r="TEP552"/>
      <c r="TEQ552"/>
      <c r="TER552"/>
      <c r="TES552"/>
      <c r="TET552"/>
      <c r="TEU552"/>
      <c r="TEV552"/>
      <c r="TEW552"/>
      <c r="TEX552"/>
      <c r="TEY552"/>
      <c r="TEZ552"/>
      <c r="TFA552"/>
      <c r="TFB552"/>
      <c r="TFC552"/>
      <c r="TFD552"/>
      <c r="TFE552"/>
      <c r="TFF552"/>
      <c r="TFG552"/>
      <c r="TFH552"/>
      <c r="TFI552"/>
      <c r="TFJ552"/>
      <c r="TFK552"/>
      <c r="TFL552"/>
      <c r="TFM552"/>
      <c r="TFN552"/>
      <c r="TFO552"/>
      <c r="TFP552"/>
      <c r="TFQ552"/>
      <c r="TFR552"/>
      <c r="TFS552"/>
      <c r="TFT552"/>
      <c r="TFU552"/>
      <c r="TFV552"/>
      <c r="TFW552"/>
      <c r="TFX552"/>
      <c r="TFY552"/>
      <c r="TFZ552"/>
      <c r="TGA552"/>
      <c r="TGB552"/>
      <c r="TGC552"/>
      <c r="TGD552"/>
      <c r="TGE552"/>
      <c r="TGF552"/>
      <c r="TGG552"/>
      <c r="TGH552"/>
      <c r="TGI552"/>
      <c r="TGJ552"/>
      <c r="TGK552"/>
      <c r="TGL552"/>
      <c r="TGM552"/>
      <c r="TGN552"/>
      <c r="TGO552"/>
      <c r="TGP552"/>
      <c r="TGQ552"/>
      <c r="TGR552"/>
      <c r="TGS552"/>
      <c r="TGT552"/>
      <c r="TGU552"/>
      <c r="TGV552"/>
      <c r="TGW552"/>
      <c r="TGX552"/>
      <c r="TGY552"/>
      <c r="TGZ552"/>
      <c r="THA552"/>
      <c r="THB552"/>
      <c r="THC552"/>
      <c r="THD552"/>
      <c r="THE552"/>
      <c r="THF552"/>
      <c r="THG552"/>
      <c r="THH552"/>
      <c r="THI552"/>
      <c r="THJ552"/>
      <c r="THK552"/>
      <c r="THL552"/>
      <c r="THM552"/>
      <c r="THN552"/>
      <c r="THO552"/>
      <c r="THP552"/>
      <c r="THQ552"/>
      <c r="THR552"/>
      <c r="THS552"/>
      <c r="THT552"/>
      <c r="THU552"/>
      <c r="THV552"/>
      <c r="THW552"/>
      <c r="THX552"/>
      <c r="THY552"/>
      <c r="THZ552"/>
      <c r="TIA552"/>
      <c r="TIB552"/>
      <c r="TIC552"/>
      <c r="TID552"/>
      <c r="TIE552"/>
      <c r="TIF552"/>
      <c r="TIG552"/>
      <c r="TIH552"/>
      <c r="TII552"/>
      <c r="TIJ552"/>
      <c r="TIK552"/>
      <c r="TIL552"/>
      <c r="TIM552"/>
      <c r="TIN552"/>
      <c r="TIO552"/>
      <c r="TIP552"/>
      <c r="TIQ552"/>
      <c r="TIR552"/>
      <c r="TIS552"/>
      <c r="TIT552"/>
      <c r="TIU552"/>
      <c r="TIV552"/>
      <c r="TIW552"/>
      <c r="TIX552"/>
      <c r="TIY552"/>
      <c r="TIZ552"/>
      <c r="TJA552"/>
      <c r="TJB552"/>
      <c r="TJC552"/>
      <c r="TJD552"/>
      <c r="TJE552"/>
      <c r="TJF552"/>
      <c r="TJG552"/>
      <c r="TJH552"/>
      <c r="TJI552"/>
      <c r="TJJ552"/>
      <c r="TJK552"/>
      <c r="TJL552"/>
      <c r="TJM552"/>
      <c r="TJN552"/>
      <c r="TJO552"/>
      <c r="TJP552"/>
      <c r="TJQ552"/>
      <c r="TJR552"/>
      <c r="TJS552"/>
      <c r="TJT552"/>
      <c r="TJU552"/>
      <c r="TJV552"/>
      <c r="TJW552"/>
      <c r="TJX552"/>
      <c r="TJY552"/>
      <c r="TJZ552"/>
      <c r="TKA552"/>
      <c r="TKB552"/>
      <c r="TKC552"/>
      <c r="TKD552"/>
      <c r="TKE552"/>
      <c r="TKF552"/>
      <c r="TKG552"/>
      <c r="TKH552"/>
      <c r="TKI552"/>
      <c r="TKJ552"/>
      <c r="TKK552"/>
      <c r="TKL552"/>
      <c r="TKM552"/>
      <c r="TKN552"/>
      <c r="TKO552"/>
      <c r="TKP552"/>
      <c r="TKQ552"/>
      <c r="TKR552"/>
      <c r="TKS552"/>
      <c r="TKT552"/>
      <c r="TKU552"/>
      <c r="TKV552"/>
      <c r="TKW552"/>
      <c r="TKX552"/>
      <c r="TKY552"/>
      <c r="TKZ552"/>
      <c r="TLA552"/>
      <c r="TLB552"/>
      <c r="TLC552"/>
      <c r="TLD552"/>
      <c r="TLE552"/>
      <c r="TLF552"/>
      <c r="TLG552"/>
      <c r="TLH552"/>
      <c r="TLI552"/>
      <c r="TLJ552"/>
      <c r="TLK552"/>
      <c r="TLL552"/>
      <c r="TLM552"/>
      <c r="TLN552"/>
      <c r="TLO552"/>
      <c r="TLP552"/>
      <c r="TLQ552"/>
      <c r="TLR552"/>
      <c r="TLS552"/>
      <c r="TLT552"/>
      <c r="TLU552"/>
      <c r="TLV552"/>
      <c r="TLW552"/>
      <c r="TLX552"/>
      <c r="TLY552"/>
      <c r="TLZ552"/>
      <c r="TMA552"/>
      <c r="TMB552"/>
      <c r="TMC552"/>
      <c r="TMD552"/>
      <c r="TME552"/>
      <c r="TMF552"/>
      <c r="TMG552"/>
      <c r="TMH552"/>
      <c r="TMI552"/>
      <c r="TMJ552"/>
      <c r="TMK552"/>
      <c r="TML552"/>
      <c r="TMM552"/>
      <c r="TMN552"/>
      <c r="TMO552"/>
      <c r="TMP552"/>
      <c r="TMQ552"/>
      <c r="TMR552"/>
      <c r="TMS552"/>
      <c r="TMT552"/>
      <c r="TMU552"/>
      <c r="TMV552"/>
      <c r="TMW552"/>
      <c r="TMX552"/>
      <c r="TMY552"/>
      <c r="TMZ552"/>
      <c r="TNA552"/>
      <c r="TNB552"/>
      <c r="TNC552"/>
      <c r="TND552"/>
      <c r="TNE552"/>
      <c r="TNF552"/>
      <c r="TNG552"/>
      <c r="TNH552"/>
      <c r="TNI552"/>
      <c r="TNJ552"/>
      <c r="TNK552"/>
      <c r="TNL552"/>
      <c r="TNM552"/>
      <c r="TNN552"/>
      <c r="TNO552"/>
      <c r="TNP552"/>
      <c r="TNQ552"/>
      <c r="TNR552"/>
      <c r="TNS552"/>
      <c r="TNT552"/>
      <c r="TNU552"/>
      <c r="TNV552"/>
      <c r="TNW552"/>
      <c r="TNX552"/>
      <c r="TNY552"/>
      <c r="TNZ552"/>
      <c r="TOA552"/>
      <c r="TOB552"/>
      <c r="TOC552"/>
      <c r="TOD552"/>
      <c r="TOE552"/>
      <c r="TOF552"/>
      <c r="TOG552"/>
      <c r="TOH552"/>
      <c r="TOI552"/>
      <c r="TOJ552"/>
      <c r="TOK552"/>
      <c r="TOL552"/>
      <c r="TOM552"/>
      <c r="TON552"/>
      <c r="TOO552"/>
      <c r="TOP552"/>
      <c r="TOQ552"/>
      <c r="TOR552"/>
      <c r="TOS552"/>
      <c r="TOT552"/>
      <c r="TOU552"/>
      <c r="TOV552"/>
      <c r="TOW552"/>
      <c r="TOX552"/>
      <c r="TOY552"/>
      <c r="TOZ552"/>
      <c r="TPA552"/>
      <c r="TPB552"/>
      <c r="TPC552"/>
      <c r="TPD552"/>
      <c r="TPE552"/>
      <c r="TPF552"/>
      <c r="TPG552"/>
      <c r="TPH552"/>
      <c r="TPI552"/>
      <c r="TPJ552"/>
      <c r="TPK552"/>
      <c r="TPL552"/>
      <c r="TPM552"/>
      <c r="TPN552"/>
      <c r="TPO552"/>
      <c r="TPP552"/>
      <c r="TPQ552"/>
      <c r="TPR552"/>
      <c r="TPS552"/>
      <c r="TPT552"/>
      <c r="TPU552"/>
      <c r="TPV552"/>
      <c r="TPW552"/>
      <c r="TPX552"/>
      <c r="TPY552"/>
      <c r="TPZ552"/>
      <c r="TQA552"/>
      <c r="TQB552"/>
      <c r="TQC552"/>
      <c r="TQD552"/>
      <c r="TQE552"/>
      <c r="TQF552"/>
      <c r="TQG552"/>
      <c r="TQH552"/>
      <c r="TQI552"/>
      <c r="TQJ552"/>
      <c r="TQK552"/>
      <c r="TQL552"/>
      <c r="TQM552"/>
      <c r="TQN552"/>
      <c r="TQO552"/>
      <c r="TQP552"/>
      <c r="TQQ552"/>
      <c r="TQR552"/>
      <c r="TQS552"/>
      <c r="TQT552"/>
      <c r="TQU552"/>
      <c r="TQV552"/>
      <c r="TQW552"/>
      <c r="TQX552"/>
      <c r="TQY552"/>
      <c r="TQZ552"/>
      <c r="TRA552"/>
      <c r="TRB552"/>
      <c r="TRC552"/>
      <c r="TRD552"/>
      <c r="TRE552"/>
      <c r="TRF552"/>
      <c r="TRG552"/>
      <c r="TRH552"/>
      <c r="TRI552"/>
      <c r="TRJ552"/>
      <c r="TRK552"/>
      <c r="TRL552"/>
      <c r="TRM552"/>
      <c r="TRN552"/>
      <c r="TRO552"/>
      <c r="TRP552"/>
      <c r="TRQ552"/>
      <c r="TRR552"/>
      <c r="TRS552"/>
      <c r="TRT552"/>
      <c r="TRU552"/>
      <c r="TRV552"/>
      <c r="TRW552"/>
      <c r="TRX552"/>
      <c r="TRY552"/>
      <c r="TRZ552"/>
      <c r="TSA552"/>
      <c r="TSB552"/>
      <c r="TSC552"/>
      <c r="TSD552"/>
      <c r="TSE552"/>
      <c r="TSF552"/>
      <c r="TSG552"/>
      <c r="TSH552"/>
      <c r="TSI552"/>
      <c r="TSJ552"/>
      <c r="TSK552"/>
      <c r="TSL552"/>
      <c r="TSM552"/>
      <c r="TSN552"/>
      <c r="TSO552"/>
      <c r="TSP552"/>
      <c r="TSQ552"/>
      <c r="TSR552"/>
      <c r="TSS552"/>
      <c r="TST552"/>
      <c r="TSU552"/>
      <c r="TSV552"/>
      <c r="TSW552"/>
      <c r="TSX552"/>
      <c r="TSY552"/>
      <c r="TSZ552"/>
      <c r="TTA552"/>
      <c r="TTB552"/>
      <c r="TTC552"/>
      <c r="TTD552"/>
      <c r="TTE552"/>
      <c r="TTF552"/>
      <c r="TTG552"/>
      <c r="TTH552"/>
      <c r="TTI552"/>
      <c r="TTJ552"/>
      <c r="TTK552"/>
      <c r="TTL552"/>
      <c r="TTM552"/>
      <c r="TTN552"/>
      <c r="TTO552"/>
      <c r="TTP552"/>
      <c r="TTQ552"/>
      <c r="TTR552"/>
      <c r="TTS552"/>
      <c r="TTT552"/>
      <c r="TTU552"/>
      <c r="TTV552"/>
      <c r="TTW552"/>
      <c r="TTX552"/>
      <c r="TTY552"/>
      <c r="TTZ552"/>
      <c r="TUA552"/>
      <c r="TUB552"/>
      <c r="TUC552"/>
      <c r="TUD552"/>
      <c r="TUE552"/>
      <c r="TUF552"/>
      <c r="TUG552"/>
      <c r="TUH552"/>
      <c r="TUI552"/>
      <c r="TUJ552"/>
      <c r="TUK552"/>
      <c r="TUL552"/>
      <c r="TUM552"/>
      <c r="TUN552"/>
      <c r="TUO552"/>
      <c r="TUP552"/>
      <c r="TUQ552"/>
      <c r="TUR552"/>
      <c r="TUS552"/>
      <c r="TUT552"/>
      <c r="TUU552"/>
      <c r="TUV552"/>
      <c r="TUW552"/>
      <c r="TUX552"/>
      <c r="TUY552"/>
      <c r="TUZ552"/>
      <c r="TVA552"/>
      <c r="TVB552"/>
      <c r="TVC552"/>
      <c r="TVD552"/>
      <c r="TVE552"/>
      <c r="TVF552"/>
      <c r="TVG552"/>
      <c r="TVH552"/>
      <c r="TVI552"/>
      <c r="TVJ552"/>
      <c r="TVK552"/>
      <c r="TVL552"/>
      <c r="TVM552"/>
      <c r="TVN552"/>
      <c r="TVO552"/>
      <c r="TVP552"/>
      <c r="TVQ552"/>
      <c r="TVR552"/>
      <c r="TVS552"/>
      <c r="TVT552"/>
      <c r="TVU552"/>
      <c r="TVV552"/>
      <c r="TVW552"/>
      <c r="TVX552"/>
      <c r="TVY552"/>
      <c r="TVZ552"/>
      <c r="TWA552"/>
      <c r="TWB552"/>
      <c r="TWC552"/>
      <c r="TWD552"/>
      <c r="TWE552"/>
      <c r="TWF552"/>
      <c r="TWG552"/>
      <c r="TWH552"/>
      <c r="TWI552"/>
      <c r="TWJ552"/>
      <c r="TWK552"/>
      <c r="TWL552"/>
      <c r="TWM552"/>
      <c r="TWN552"/>
      <c r="TWO552"/>
      <c r="TWP552"/>
      <c r="TWQ552"/>
      <c r="TWR552"/>
      <c r="TWS552"/>
      <c r="TWT552"/>
      <c r="TWU552"/>
      <c r="TWV552"/>
      <c r="TWW552"/>
      <c r="TWX552"/>
      <c r="TWY552"/>
      <c r="TWZ552"/>
      <c r="TXA552"/>
      <c r="TXB552"/>
      <c r="TXC552"/>
      <c r="TXD552"/>
      <c r="TXE552"/>
      <c r="TXF552"/>
      <c r="TXG552"/>
      <c r="TXH552"/>
      <c r="TXI552"/>
      <c r="TXJ552"/>
      <c r="TXK552"/>
      <c r="TXL552"/>
      <c r="TXM552"/>
      <c r="TXN552"/>
      <c r="TXO552"/>
      <c r="TXP552"/>
      <c r="TXQ552"/>
      <c r="TXR552"/>
      <c r="TXS552"/>
      <c r="TXT552"/>
      <c r="TXU552"/>
      <c r="TXV552"/>
      <c r="TXW552"/>
      <c r="TXX552"/>
      <c r="TXY552"/>
      <c r="TXZ552"/>
      <c r="TYA552"/>
      <c r="TYB552"/>
      <c r="TYC552"/>
      <c r="TYD552"/>
      <c r="TYE552"/>
      <c r="TYF552"/>
      <c r="TYG552"/>
      <c r="TYH552"/>
      <c r="TYI552"/>
      <c r="TYJ552"/>
      <c r="TYK552"/>
      <c r="TYL552"/>
      <c r="TYM552"/>
      <c r="TYN552"/>
      <c r="TYO552"/>
      <c r="TYP552"/>
      <c r="TYQ552"/>
      <c r="TYR552"/>
      <c r="TYS552"/>
      <c r="TYT552"/>
      <c r="TYU552"/>
      <c r="TYV552"/>
      <c r="TYW552"/>
      <c r="TYX552"/>
      <c r="TYY552"/>
      <c r="TYZ552"/>
      <c r="TZA552"/>
      <c r="TZB552"/>
      <c r="TZC552"/>
      <c r="TZD552"/>
      <c r="TZE552"/>
      <c r="TZF552"/>
      <c r="TZG552"/>
      <c r="TZH552"/>
      <c r="TZI552"/>
      <c r="TZJ552"/>
      <c r="TZK552"/>
      <c r="TZL552"/>
      <c r="TZM552"/>
      <c r="TZN552"/>
      <c r="TZO552"/>
      <c r="TZP552"/>
      <c r="TZQ552"/>
      <c r="TZR552"/>
      <c r="TZS552"/>
      <c r="TZT552"/>
      <c r="TZU552"/>
      <c r="TZV552"/>
      <c r="TZW552"/>
      <c r="TZX552"/>
      <c r="TZY552"/>
      <c r="TZZ552"/>
      <c r="UAA552"/>
      <c r="UAB552"/>
      <c r="UAC552"/>
      <c r="UAD552"/>
      <c r="UAE552"/>
      <c r="UAF552"/>
      <c r="UAG552"/>
      <c r="UAH552"/>
      <c r="UAI552"/>
      <c r="UAJ552"/>
      <c r="UAK552"/>
      <c r="UAL552"/>
      <c r="UAM552"/>
      <c r="UAN552"/>
      <c r="UAO552"/>
      <c r="UAP552"/>
      <c r="UAQ552"/>
      <c r="UAR552"/>
      <c r="UAS552"/>
      <c r="UAT552"/>
      <c r="UAU552"/>
      <c r="UAV552"/>
      <c r="UAW552"/>
      <c r="UAX552"/>
      <c r="UAY552"/>
      <c r="UAZ552"/>
      <c r="UBA552"/>
      <c r="UBB552"/>
      <c r="UBC552"/>
      <c r="UBD552"/>
      <c r="UBE552"/>
      <c r="UBF552"/>
      <c r="UBG552"/>
      <c r="UBH552"/>
      <c r="UBI552"/>
      <c r="UBJ552"/>
      <c r="UBK552"/>
      <c r="UBL552"/>
      <c r="UBM552"/>
      <c r="UBN552"/>
      <c r="UBO552"/>
      <c r="UBP552"/>
      <c r="UBQ552"/>
      <c r="UBR552"/>
      <c r="UBS552"/>
      <c r="UBT552"/>
      <c r="UBU552"/>
      <c r="UBV552"/>
      <c r="UBW552"/>
      <c r="UBX552"/>
      <c r="UBY552"/>
      <c r="UBZ552"/>
      <c r="UCA552"/>
      <c r="UCB552"/>
      <c r="UCC552"/>
      <c r="UCD552"/>
      <c r="UCE552"/>
      <c r="UCF552"/>
      <c r="UCG552"/>
      <c r="UCH552"/>
      <c r="UCI552"/>
      <c r="UCJ552"/>
      <c r="UCK552"/>
      <c r="UCL552"/>
      <c r="UCM552"/>
      <c r="UCN552"/>
      <c r="UCO552"/>
      <c r="UCP552"/>
      <c r="UCQ552"/>
      <c r="UCR552"/>
      <c r="UCS552"/>
      <c r="UCT552"/>
      <c r="UCU552"/>
      <c r="UCV552"/>
      <c r="UCW552"/>
      <c r="UCX552"/>
      <c r="UCY552"/>
      <c r="UCZ552"/>
      <c r="UDA552"/>
      <c r="UDB552"/>
      <c r="UDC552"/>
      <c r="UDD552"/>
      <c r="UDE552"/>
      <c r="UDF552"/>
      <c r="UDG552"/>
      <c r="UDH552"/>
      <c r="UDI552"/>
      <c r="UDJ552"/>
      <c r="UDK552"/>
      <c r="UDL552"/>
      <c r="UDM552"/>
      <c r="UDN552"/>
      <c r="UDO552"/>
      <c r="UDP552"/>
      <c r="UDQ552"/>
      <c r="UDR552"/>
      <c r="UDS552"/>
      <c r="UDT552"/>
      <c r="UDU552"/>
      <c r="UDV552"/>
      <c r="UDW552"/>
      <c r="UDX552"/>
      <c r="UDY552"/>
      <c r="UDZ552"/>
      <c r="UEA552"/>
      <c r="UEB552"/>
      <c r="UEC552"/>
      <c r="UED552"/>
      <c r="UEE552"/>
      <c r="UEF552"/>
      <c r="UEG552"/>
      <c r="UEH552"/>
      <c r="UEI552"/>
      <c r="UEJ552"/>
      <c r="UEK552"/>
      <c r="UEL552"/>
      <c r="UEM552"/>
      <c r="UEN552"/>
      <c r="UEO552"/>
      <c r="UEP552"/>
      <c r="UEQ552"/>
      <c r="UER552"/>
      <c r="UES552"/>
      <c r="UET552"/>
      <c r="UEU552"/>
      <c r="UEV552"/>
      <c r="UEW552"/>
      <c r="UEX552"/>
      <c r="UEY552"/>
      <c r="UEZ552"/>
      <c r="UFA552"/>
      <c r="UFB552"/>
      <c r="UFC552"/>
      <c r="UFD552"/>
      <c r="UFE552"/>
      <c r="UFF552"/>
      <c r="UFG552"/>
      <c r="UFH552"/>
      <c r="UFI552"/>
      <c r="UFJ552"/>
      <c r="UFK552"/>
      <c r="UFL552"/>
      <c r="UFM552"/>
      <c r="UFN552"/>
      <c r="UFO552"/>
      <c r="UFP552"/>
      <c r="UFQ552"/>
      <c r="UFR552"/>
      <c r="UFS552"/>
      <c r="UFT552"/>
      <c r="UFU552"/>
      <c r="UFV552"/>
      <c r="UFW552"/>
      <c r="UFX552"/>
      <c r="UFY552"/>
      <c r="UFZ552"/>
      <c r="UGA552"/>
      <c r="UGB552"/>
      <c r="UGC552"/>
      <c r="UGD552"/>
      <c r="UGE552"/>
      <c r="UGF552"/>
      <c r="UGG552"/>
      <c r="UGH552"/>
      <c r="UGI552"/>
      <c r="UGJ552"/>
      <c r="UGK552"/>
      <c r="UGL552"/>
      <c r="UGM552"/>
      <c r="UGN552"/>
      <c r="UGO552"/>
      <c r="UGP552"/>
      <c r="UGQ552"/>
      <c r="UGR552"/>
      <c r="UGS552"/>
      <c r="UGT552"/>
      <c r="UGU552"/>
      <c r="UGV552"/>
      <c r="UGW552"/>
      <c r="UGX552"/>
      <c r="UGY552"/>
      <c r="UGZ552"/>
      <c r="UHA552"/>
      <c r="UHB552"/>
      <c r="UHC552"/>
      <c r="UHD552"/>
      <c r="UHE552"/>
      <c r="UHF552"/>
      <c r="UHG552"/>
      <c r="UHH552"/>
      <c r="UHI552"/>
      <c r="UHJ552"/>
      <c r="UHK552"/>
      <c r="UHL552"/>
      <c r="UHM552"/>
      <c r="UHN552"/>
      <c r="UHO552"/>
      <c r="UHP552"/>
      <c r="UHQ552"/>
      <c r="UHR552"/>
      <c r="UHS552"/>
      <c r="UHT552"/>
      <c r="UHU552"/>
      <c r="UHV552"/>
      <c r="UHW552"/>
      <c r="UHX552"/>
      <c r="UHY552"/>
      <c r="UHZ552"/>
      <c r="UIA552"/>
      <c r="UIB552"/>
      <c r="UIC552"/>
      <c r="UID552"/>
      <c r="UIE552"/>
      <c r="UIF552"/>
      <c r="UIG552"/>
      <c r="UIH552"/>
      <c r="UII552"/>
      <c r="UIJ552"/>
      <c r="UIK552"/>
      <c r="UIL552"/>
      <c r="UIM552"/>
      <c r="UIN552"/>
      <c r="UIO552"/>
      <c r="UIP552"/>
      <c r="UIQ552"/>
      <c r="UIR552"/>
      <c r="UIS552"/>
      <c r="UIT552"/>
      <c r="UIU552"/>
      <c r="UIV552"/>
      <c r="UIW552"/>
      <c r="UIX552"/>
      <c r="UIY552"/>
      <c r="UIZ552"/>
      <c r="UJA552"/>
      <c r="UJB552"/>
      <c r="UJC552"/>
      <c r="UJD552"/>
      <c r="UJE552"/>
      <c r="UJF552"/>
      <c r="UJG552"/>
      <c r="UJH552"/>
      <c r="UJI552"/>
      <c r="UJJ552"/>
      <c r="UJK552"/>
      <c r="UJL552"/>
      <c r="UJM552"/>
      <c r="UJN552"/>
      <c r="UJO552"/>
      <c r="UJP552"/>
      <c r="UJQ552"/>
      <c r="UJR552"/>
      <c r="UJS552"/>
      <c r="UJT552"/>
      <c r="UJU552"/>
      <c r="UJV552"/>
      <c r="UJW552"/>
      <c r="UJX552"/>
      <c r="UJY552"/>
      <c r="UJZ552"/>
      <c r="UKA552"/>
      <c r="UKB552"/>
      <c r="UKC552"/>
      <c r="UKD552"/>
      <c r="UKE552"/>
      <c r="UKF552"/>
      <c r="UKG552"/>
      <c r="UKH552"/>
      <c r="UKI552"/>
      <c r="UKJ552"/>
      <c r="UKK552"/>
      <c r="UKL552"/>
      <c r="UKM552"/>
      <c r="UKN552"/>
      <c r="UKO552"/>
      <c r="UKP552"/>
      <c r="UKQ552"/>
      <c r="UKR552"/>
      <c r="UKS552"/>
      <c r="UKT552"/>
      <c r="UKU552"/>
      <c r="UKV552"/>
      <c r="UKW552"/>
      <c r="UKX552"/>
      <c r="UKY552"/>
      <c r="UKZ552"/>
      <c r="ULA552"/>
      <c r="ULB552"/>
      <c r="ULC552"/>
      <c r="ULD552"/>
      <c r="ULE552"/>
      <c r="ULF552"/>
      <c r="ULG552"/>
      <c r="ULH552"/>
      <c r="ULI552"/>
      <c r="ULJ552"/>
      <c r="ULK552"/>
      <c r="ULL552"/>
      <c r="ULM552"/>
      <c r="ULN552"/>
      <c r="ULO552"/>
      <c r="ULP552"/>
      <c r="ULQ552"/>
      <c r="ULR552"/>
      <c r="ULS552"/>
      <c r="ULT552"/>
      <c r="ULU552"/>
      <c r="ULV552"/>
      <c r="ULW552"/>
      <c r="ULX552"/>
      <c r="ULY552"/>
      <c r="ULZ552"/>
      <c r="UMA552"/>
      <c r="UMB552"/>
      <c r="UMC552"/>
      <c r="UMD552"/>
      <c r="UME552"/>
      <c r="UMF552"/>
      <c r="UMG552"/>
      <c r="UMH552"/>
      <c r="UMI552"/>
      <c r="UMJ552"/>
      <c r="UMK552"/>
      <c r="UML552"/>
      <c r="UMM552"/>
      <c r="UMN552"/>
      <c r="UMO552"/>
      <c r="UMP552"/>
      <c r="UMQ552"/>
      <c r="UMR552"/>
      <c r="UMS552"/>
      <c r="UMT552"/>
      <c r="UMU552"/>
      <c r="UMV552"/>
      <c r="UMW552"/>
      <c r="UMX552"/>
      <c r="UMY552"/>
      <c r="UMZ552"/>
      <c r="UNA552"/>
      <c r="UNB552"/>
      <c r="UNC552"/>
      <c r="UND552"/>
      <c r="UNE552"/>
      <c r="UNF552"/>
      <c r="UNG552"/>
      <c r="UNH552"/>
      <c r="UNI552"/>
      <c r="UNJ552"/>
      <c r="UNK552"/>
      <c r="UNL552"/>
      <c r="UNM552"/>
      <c r="UNN552"/>
      <c r="UNO552"/>
      <c r="UNP552"/>
      <c r="UNQ552"/>
      <c r="UNR552"/>
      <c r="UNS552"/>
      <c r="UNT552"/>
      <c r="UNU552"/>
      <c r="UNV552"/>
      <c r="UNW552"/>
      <c r="UNX552"/>
      <c r="UNY552"/>
      <c r="UNZ552"/>
      <c r="UOA552"/>
      <c r="UOB552"/>
      <c r="UOC552"/>
      <c r="UOD552"/>
      <c r="UOE552"/>
      <c r="UOF552"/>
      <c r="UOG552"/>
      <c r="UOH552"/>
      <c r="UOI552"/>
      <c r="UOJ552"/>
      <c r="UOK552"/>
      <c r="UOL552"/>
      <c r="UOM552"/>
      <c r="UON552"/>
      <c r="UOO552"/>
      <c r="UOP552"/>
      <c r="UOQ552"/>
      <c r="UOR552"/>
      <c r="UOS552"/>
      <c r="UOT552"/>
      <c r="UOU552"/>
      <c r="UOV552"/>
      <c r="UOW552"/>
      <c r="UOX552"/>
      <c r="UOY552"/>
      <c r="UOZ552"/>
      <c r="UPA552"/>
      <c r="UPB552"/>
      <c r="UPC552"/>
      <c r="UPD552"/>
      <c r="UPE552"/>
      <c r="UPF552"/>
      <c r="UPG552"/>
      <c r="UPH552"/>
      <c r="UPI552"/>
      <c r="UPJ552"/>
      <c r="UPK552"/>
      <c r="UPL552"/>
      <c r="UPM552"/>
      <c r="UPN552"/>
      <c r="UPO552"/>
      <c r="UPP552"/>
      <c r="UPQ552"/>
      <c r="UPR552"/>
      <c r="UPS552"/>
      <c r="UPT552"/>
      <c r="UPU552"/>
      <c r="UPV552"/>
      <c r="UPW552"/>
      <c r="UPX552"/>
      <c r="UPY552"/>
      <c r="UPZ552"/>
      <c r="UQA552"/>
      <c r="UQB552"/>
      <c r="UQC552"/>
      <c r="UQD552"/>
      <c r="UQE552"/>
      <c r="UQF552"/>
      <c r="UQG552"/>
      <c r="UQH552"/>
      <c r="UQI552"/>
      <c r="UQJ552"/>
      <c r="UQK552"/>
      <c r="UQL552"/>
      <c r="UQM552"/>
      <c r="UQN552"/>
      <c r="UQO552"/>
      <c r="UQP552"/>
      <c r="UQQ552"/>
      <c r="UQR552"/>
      <c r="UQS552"/>
      <c r="UQT552"/>
      <c r="UQU552"/>
      <c r="UQV552"/>
      <c r="UQW552"/>
      <c r="UQX552"/>
      <c r="UQY552"/>
      <c r="UQZ552"/>
      <c r="URA552"/>
      <c r="URB552"/>
      <c r="URC552"/>
      <c r="URD552"/>
      <c r="URE552"/>
      <c r="URF552"/>
      <c r="URG552"/>
      <c r="URH552"/>
      <c r="URI552"/>
      <c r="URJ552"/>
      <c r="URK552"/>
      <c r="URL552"/>
      <c r="URM552"/>
      <c r="URN552"/>
      <c r="URO552"/>
      <c r="URP552"/>
      <c r="URQ552"/>
      <c r="URR552"/>
      <c r="URS552"/>
      <c r="URT552"/>
      <c r="URU552"/>
      <c r="URV552"/>
      <c r="URW552"/>
      <c r="URX552"/>
      <c r="URY552"/>
      <c r="URZ552"/>
      <c r="USA552"/>
      <c r="USB552"/>
      <c r="USC552"/>
      <c r="USD552"/>
      <c r="USE552"/>
      <c r="USF552"/>
      <c r="USG552"/>
      <c r="USH552"/>
      <c r="USI552"/>
      <c r="USJ552"/>
      <c r="USK552"/>
      <c r="USL552"/>
      <c r="USM552"/>
      <c r="USN552"/>
      <c r="USO552"/>
      <c r="USP552"/>
      <c r="USQ552"/>
      <c r="USR552"/>
      <c r="USS552"/>
      <c r="UST552"/>
      <c r="USU552"/>
      <c r="USV552"/>
      <c r="USW552"/>
      <c r="USX552"/>
      <c r="USY552"/>
      <c r="USZ552"/>
      <c r="UTA552"/>
      <c r="UTB552"/>
      <c r="UTC552"/>
      <c r="UTD552"/>
      <c r="UTE552"/>
      <c r="UTF552"/>
      <c r="UTG552"/>
      <c r="UTH552"/>
      <c r="UTI552"/>
      <c r="UTJ552"/>
      <c r="UTK552"/>
      <c r="UTL552"/>
      <c r="UTM552"/>
      <c r="UTN552"/>
      <c r="UTO552"/>
      <c r="UTP552"/>
      <c r="UTQ552"/>
      <c r="UTR552"/>
      <c r="UTS552"/>
      <c r="UTT552"/>
      <c r="UTU552"/>
      <c r="UTV552"/>
      <c r="UTW552"/>
      <c r="UTX552"/>
      <c r="UTY552"/>
      <c r="UTZ552"/>
      <c r="UUA552"/>
      <c r="UUB552"/>
      <c r="UUC552"/>
      <c r="UUD552"/>
      <c r="UUE552"/>
      <c r="UUF552"/>
      <c r="UUG552"/>
      <c r="UUH552"/>
      <c r="UUI552"/>
      <c r="UUJ552"/>
      <c r="UUK552"/>
      <c r="UUL552"/>
      <c r="UUM552"/>
      <c r="UUN552"/>
      <c r="UUO552"/>
      <c r="UUP552"/>
      <c r="UUQ552"/>
      <c r="UUR552"/>
      <c r="UUS552"/>
      <c r="UUT552"/>
      <c r="UUU552"/>
      <c r="UUV552"/>
      <c r="UUW552"/>
      <c r="UUX552"/>
      <c r="UUY552"/>
      <c r="UUZ552"/>
      <c r="UVA552"/>
      <c r="UVB552"/>
      <c r="UVC552"/>
      <c r="UVD552"/>
      <c r="UVE552"/>
      <c r="UVF552"/>
      <c r="UVG552"/>
      <c r="UVH552"/>
      <c r="UVI552"/>
      <c r="UVJ552"/>
      <c r="UVK552"/>
      <c r="UVL552"/>
      <c r="UVM552"/>
      <c r="UVN552"/>
      <c r="UVO552"/>
      <c r="UVP552"/>
      <c r="UVQ552"/>
      <c r="UVR552"/>
      <c r="UVS552"/>
      <c r="UVT552"/>
      <c r="UVU552"/>
      <c r="UVV552"/>
      <c r="UVW552"/>
      <c r="UVX552"/>
      <c r="UVY552"/>
      <c r="UVZ552"/>
      <c r="UWA552"/>
      <c r="UWB552"/>
      <c r="UWC552"/>
      <c r="UWD552"/>
      <c r="UWE552"/>
      <c r="UWF552"/>
      <c r="UWG552"/>
      <c r="UWH552"/>
      <c r="UWI552"/>
      <c r="UWJ552"/>
      <c r="UWK552"/>
      <c r="UWL552"/>
      <c r="UWM552"/>
      <c r="UWN552"/>
      <c r="UWO552"/>
      <c r="UWP552"/>
      <c r="UWQ552"/>
      <c r="UWR552"/>
      <c r="UWS552"/>
      <c r="UWT552"/>
      <c r="UWU552"/>
      <c r="UWV552"/>
      <c r="UWW552"/>
      <c r="UWX552"/>
      <c r="UWY552"/>
      <c r="UWZ552"/>
      <c r="UXA552"/>
      <c r="UXB552"/>
      <c r="UXC552"/>
      <c r="UXD552"/>
      <c r="UXE552"/>
      <c r="UXF552"/>
      <c r="UXG552"/>
      <c r="UXH552"/>
      <c r="UXI552"/>
      <c r="UXJ552"/>
      <c r="UXK552"/>
      <c r="UXL552"/>
      <c r="UXM552"/>
      <c r="UXN552"/>
      <c r="UXO552"/>
      <c r="UXP552"/>
      <c r="UXQ552"/>
      <c r="UXR552"/>
      <c r="UXS552"/>
      <c r="UXT552"/>
      <c r="UXU552"/>
      <c r="UXV552"/>
      <c r="UXW552"/>
      <c r="UXX552"/>
      <c r="UXY552"/>
      <c r="UXZ552"/>
      <c r="UYA552"/>
      <c r="UYB552"/>
      <c r="UYC552"/>
      <c r="UYD552"/>
      <c r="UYE552"/>
      <c r="UYF552"/>
      <c r="UYG552"/>
      <c r="UYH552"/>
      <c r="UYI552"/>
      <c r="UYJ552"/>
      <c r="UYK552"/>
      <c r="UYL552"/>
      <c r="UYM552"/>
      <c r="UYN552"/>
      <c r="UYO552"/>
      <c r="UYP552"/>
      <c r="UYQ552"/>
      <c r="UYR552"/>
      <c r="UYS552"/>
      <c r="UYT552"/>
      <c r="UYU552"/>
      <c r="UYV552"/>
      <c r="UYW552"/>
      <c r="UYX552"/>
      <c r="UYY552"/>
      <c r="UYZ552"/>
      <c r="UZA552"/>
      <c r="UZB552"/>
      <c r="UZC552"/>
      <c r="UZD552"/>
      <c r="UZE552"/>
      <c r="UZF552"/>
      <c r="UZG552"/>
      <c r="UZH552"/>
      <c r="UZI552"/>
      <c r="UZJ552"/>
      <c r="UZK552"/>
      <c r="UZL552"/>
      <c r="UZM552"/>
      <c r="UZN552"/>
      <c r="UZO552"/>
      <c r="UZP552"/>
      <c r="UZQ552"/>
      <c r="UZR552"/>
      <c r="UZS552"/>
      <c r="UZT552"/>
      <c r="UZU552"/>
      <c r="UZV552"/>
      <c r="UZW552"/>
      <c r="UZX552"/>
      <c r="UZY552"/>
      <c r="UZZ552"/>
      <c r="VAA552"/>
      <c r="VAB552"/>
      <c r="VAC552"/>
      <c r="VAD552"/>
      <c r="VAE552"/>
      <c r="VAF552"/>
      <c r="VAG552"/>
      <c r="VAH552"/>
      <c r="VAI552"/>
      <c r="VAJ552"/>
      <c r="VAK552"/>
      <c r="VAL552"/>
      <c r="VAM552"/>
      <c r="VAN552"/>
      <c r="VAO552"/>
      <c r="VAP552"/>
      <c r="VAQ552"/>
      <c r="VAR552"/>
      <c r="VAS552"/>
      <c r="VAT552"/>
      <c r="VAU552"/>
      <c r="VAV552"/>
      <c r="VAW552"/>
      <c r="VAX552"/>
      <c r="VAY552"/>
      <c r="VAZ552"/>
      <c r="VBA552"/>
      <c r="VBB552"/>
      <c r="VBC552"/>
      <c r="VBD552"/>
      <c r="VBE552"/>
      <c r="VBF552"/>
      <c r="VBG552"/>
      <c r="VBH552"/>
      <c r="VBI552"/>
      <c r="VBJ552"/>
      <c r="VBK552"/>
      <c r="VBL552"/>
      <c r="VBM552"/>
      <c r="VBN552"/>
      <c r="VBO552"/>
      <c r="VBP552"/>
      <c r="VBQ552"/>
      <c r="VBR552"/>
      <c r="VBS552"/>
      <c r="VBT552"/>
      <c r="VBU552"/>
      <c r="VBV552"/>
      <c r="VBW552"/>
      <c r="VBX552"/>
      <c r="VBY552"/>
      <c r="VBZ552"/>
      <c r="VCA552"/>
      <c r="VCB552"/>
      <c r="VCC552"/>
      <c r="VCD552"/>
      <c r="VCE552"/>
      <c r="VCF552"/>
      <c r="VCG552"/>
      <c r="VCH552"/>
      <c r="VCI552"/>
      <c r="VCJ552"/>
      <c r="VCK552"/>
      <c r="VCL552"/>
      <c r="VCM552"/>
      <c r="VCN552"/>
      <c r="VCO552"/>
      <c r="VCP552"/>
      <c r="VCQ552"/>
      <c r="VCR552"/>
      <c r="VCS552"/>
      <c r="VCT552"/>
      <c r="VCU552"/>
      <c r="VCV552"/>
      <c r="VCW552"/>
      <c r="VCX552"/>
      <c r="VCY552"/>
      <c r="VCZ552"/>
      <c r="VDA552"/>
      <c r="VDB552"/>
      <c r="VDC552"/>
      <c r="VDD552"/>
      <c r="VDE552"/>
      <c r="VDF552"/>
      <c r="VDG552"/>
      <c r="VDH552"/>
      <c r="VDI552"/>
      <c r="VDJ552"/>
      <c r="VDK552"/>
      <c r="VDL552"/>
      <c r="VDM552"/>
      <c r="VDN552"/>
      <c r="VDO552"/>
      <c r="VDP552"/>
      <c r="VDQ552"/>
      <c r="VDR552"/>
      <c r="VDS552"/>
      <c r="VDT552"/>
      <c r="VDU552"/>
      <c r="VDV552"/>
      <c r="VDW552"/>
      <c r="VDX552"/>
      <c r="VDY552"/>
      <c r="VDZ552"/>
      <c r="VEA552"/>
      <c r="VEB552"/>
      <c r="VEC552"/>
      <c r="VED552"/>
      <c r="VEE552"/>
      <c r="VEF552"/>
      <c r="VEG552"/>
      <c r="VEH552"/>
      <c r="VEI552"/>
      <c r="VEJ552"/>
      <c r="VEK552"/>
      <c r="VEL552"/>
      <c r="VEM552"/>
      <c r="VEN552"/>
      <c r="VEO552"/>
      <c r="VEP552"/>
      <c r="VEQ552"/>
      <c r="VER552"/>
      <c r="VES552"/>
      <c r="VET552"/>
      <c r="VEU552"/>
      <c r="VEV552"/>
      <c r="VEW552"/>
      <c r="VEX552"/>
      <c r="VEY552"/>
      <c r="VEZ552"/>
      <c r="VFA552"/>
      <c r="VFB552"/>
      <c r="VFC552"/>
      <c r="VFD552"/>
      <c r="VFE552"/>
      <c r="VFF552"/>
      <c r="VFG552"/>
      <c r="VFH552"/>
      <c r="VFI552"/>
      <c r="VFJ552"/>
      <c r="VFK552"/>
      <c r="VFL552"/>
      <c r="VFM552"/>
      <c r="VFN552"/>
      <c r="VFO552"/>
      <c r="VFP552"/>
      <c r="VFQ552"/>
      <c r="VFR552"/>
      <c r="VFS552"/>
      <c r="VFT552"/>
      <c r="VFU552"/>
      <c r="VFV552"/>
      <c r="VFW552"/>
      <c r="VFX552"/>
      <c r="VFY552"/>
      <c r="VFZ552"/>
      <c r="VGA552"/>
      <c r="VGB552"/>
      <c r="VGC552"/>
      <c r="VGD552"/>
      <c r="VGE552"/>
      <c r="VGF552"/>
      <c r="VGG552"/>
      <c r="VGH552"/>
      <c r="VGI552"/>
      <c r="VGJ552"/>
      <c r="VGK552"/>
      <c r="VGL552"/>
      <c r="VGM552"/>
      <c r="VGN552"/>
      <c r="VGO552"/>
      <c r="VGP552"/>
      <c r="VGQ552"/>
      <c r="VGR552"/>
      <c r="VGS552"/>
      <c r="VGT552"/>
      <c r="VGU552"/>
      <c r="VGV552"/>
      <c r="VGW552"/>
      <c r="VGX552"/>
      <c r="VGY552"/>
      <c r="VGZ552"/>
      <c r="VHA552"/>
      <c r="VHB552"/>
      <c r="VHC552"/>
      <c r="VHD552"/>
      <c r="VHE552"/>
      <c r="VHF552"/>
      <c r="VHG552"/>
      <c r="VHH552"/>
      <c r="VHI552"/>
      <c r="VHJ552"/>
      <c r="VHK552"/>
      <c r="VHL552"/>
      <c r="VHM552"/>
      <c r="VHN552"/>
      <c r="VHO552"/>
      <c r="VHP552"/>
      <c r="VHQ552"/>
      <c r="VHR552"/>
      <c r="VHS552"/>
      <c r="VHT552"/>
      <c r="VHU552"/>
      <c r="VHV552"/>
      <c r="VHW552"/>
      <c r="VHX552"/>
      <c r="VHY552"/>
      <c r="VHZ552"/>
      <c r="VIA552"/>
      <c r="VIB552"/>
      <c r="VIC552"/>
      <c r="VID552"/>
      <c r="VIE552"/>
      <c r="VIF552"/>
      <c r="VIG552"/>
      <c r="VIH552"/>
      <c r="VII552"/>
      <c r="VIJ552"/>
      <c r="VIK552"/>
      <c r="VIL552"/>
      <c r="VIM552"/>
      <c r="VIN552"/>
      <c r="VIO552"/>
      <c r="VIP552"/>
      <c r="VIQ552"/>
      <c r="VIR552"/>
      <c r="VIS552"/>
      <c r="VIT552"/>
      <c r="VIU552"/>
      <c r="VIV552"/>
      <c r="VIW552"/>
      <c r="VIX552"/>
      <c r="VIY552"/>
      <c r="VIZ552"/>
      <c r="VJA552"/>
      <c r="VJB552"/>
      <c r="VJC552"/>
      <c r="VJD552"/>
      <c r="VJE552"/>
      <c r="VJF552"/>
      <c r="VJG552"/>
      <c r="VJH552"/>
      <c r="VJI552"/>
      <c r="VJJ552"/>
      <c r="VJK552"/>
      <c r="VJL552"/>
      <c r="VJM552"/>
      <c r="VJN552"/>
      <c r="VJO552"/>
      <c r="VJP552"/>
      <c r="VJQ552"/>
      <c r="VJR552"/>
      <c r="VJS552"/>
      <c r="VJT552"/>
      <c r="VJU552"/>
      <c r="VJV552"/>
      <c r="VJW552"/>
      <c r="VJX552"/>
      <c r="VJY552"/>
      <c r="VJZ552"/>
      <c r="VKA552"/>
      <c r="VKB552"/>
      <c r="VKC552"/>
      <c r="VKD552"/>
      <c r="VKE552"/>
      <c r="VKF552"/>
      <c r="VKG552"/>
      <c r="VKH552"/>
      <c r="VKI552"/>
      <c r="VKJ552"/>
      <c r="VKK552"/>
      <c r="VKL552"/>
      <c r="VKM552"/>
      <c r="VKN552"/>
      <c r="VKO552"/>
      <c r="VKP552"/>
      <c r="VKQ552"/>
      <c r="VKR552"/>
      <c r="VKS552"/>
      <c r="VKT552"/>
      <c r="VKU552"/>
      <c r="VKV552"/>
      <c r="VKW552"/>
      <c r="VKX552"/>
      <c r="VKY552"/>
      <c r="VKZ552"/>
      <c r="VLA552"/>
      <c r="VLB552"/>
      <c r="VLC552"/>
      <c r="VLD552"/>
      <c r="VLE552"/>
      <c r="VLF552"/>
      <c r="VLG552"/>
      <c r="VLH552"/>
      <c r="VLI552"/>
      <c r="VLJ552"/>
      <c r="VLK552"/>
      <c r="VLL552"/>
      <c r="VLM552"/>
      <c r="VLN552"/>
      <c r="VLO552"/>
      <c r="VLP552"/>
      <c r="VLQ552"/>
      <c r="VLR552"/>
      <c r="VLS552"/>
      <c r="VLT552"/>
      <c r="VLU552"/>
      <c r="VLV552"/>
      <c r="VLW552"/>
      <c r="VLX552"/>
      <c r="VLY552"/>
      <c r="VLZ552"/>
      <c r="VMA552"/>
      <c r="VMB552"/>
      <c r="VMC552"/>
      <c r="VMD552"/>
      <c r="VME552"/>
      <c r="VMF552"/>
      <c r="VMG552"/>
      <c r="VMH552"/>
      <c r="VMI552"/>
      <c r="VMJ552"/>
      <c r="VMK552"/>
      <c r="VML552"/>
      <c r="VMM552"/>
      <c r="VMN552"/>
      <c r="VMO552"/>
      <c r="VMP552"/>
      <c r="VMQ552"/>
      <c r="VMR552"/>
      <c r="VMS552"/>
      <c r="VMT552"/>
      <c r="VMU552"/>
      <c r="VMV552"/>
      <c r="VMW552"/>
      <c r="VMX552"/>
      <c r="VMY552"/>
      <c r="VMZ552"/>
      <c r="VNA552"/>
      <c r="VNB552"/>
      <c r="VNC552"/>
      <c r="VND552"/>
      <c r="VNE552"/>
      <c r="VNF552"/>
      <c r="VNG552"/>
      <c r="VNH552"/>
      <c r="VNI552"/>
      <c r="VNJ552"/>
      <c r="VNK552"/>
      <c r="VNL552"/>
      <c r="VNM552"/>
      <c r="VNN552"/>
      <c r="VNO552"/>
      <c r="VNP552"/>
      <c r="VNQ552"/>
      <c r="VNR552"/>
      <c r="VNS552"/>
      <c r="VNT552"/>
      <c r="VNU552"/>
      <c r="VNV552"/>
      <c r="VNW552"/>
      <c r="VNX552"/>
      <c r="VNY552"/>
      <c r="VNZ552"/>
      <c r="VOA552"/>
      <c r="VOB552"/>
      <c r="VOC552"/>
      <c r="VOD552"/>
      <c r="VOE552"/>
      <c r="VOF552"/>
      <c r="VOG552"/>
      <c r="VOH552"/>
      <c r="VOI552"/>
      <c r="VOJ552"/>
      <c r="VOK552"/>
      <c r="VOL552"/>
      <c r="VOM552"/>
      <c r="VON552"/>
      <c r="VOO552"/>
      <c r="VOP552"/>
      <c r="VOQ552"/>
      <c r="VOR552"/>
      <c r="VOS552"/>
      <c r="VOT552"/>
      <c r="VOU552"/>
      <c r="VOV552"/>
      <c r="VOW552"/>
      <c r="VOX552"/>
      <c r="VOY552"/>
      <c r="VOZ552"/>
      <c r="VPA552"/>
      <c r="VPB552"/>
      <c r="VPC552"/>
      <c r="VPD552"/>
      <c r="VPE552"/>
      <c r="VPF552"/>
      <c r="VPG552"/>
      <c r="VPH552"/>
      <c r="VPI552"/>
      <c r="VPJ552"/>
      <c r="VPK552"/>
      <c r="VPL552"/>
      <c r="VPM552"/>
      <c r="VPN552"/>
      <c r="VPO552"/>
      <c r="VPP552"/>
      <c r="VPQ552"/>
      <c r="VPR552"/>
      <c r="VPS552"/>
      <c r="VPT552"/>
      <c r="VPU552"/>
      <c r="VPV552"/>
      <c r="VPW552"/>
      <c r="VPX552"/>
      <c r="VPY552"/>
      <c r="VPZ552"/>
      <c r="VQA552"/>
      <c r="VQB552"/>
      <c r="VQC552"/>
      <c r="VQD552"/>
      <c r="VQE552"/>
      <c r="VQF552"/>
      <c r="VQG552"/>
      <c r="VQH552"/>
      <c r="VQI552"/>
      <c r="VQJ552"/>
      <c r="VQK552"/>
      <c r="VQL552"/>
      <c r="VQM552"/>
      <c r="VQN552"/>
      <c r="VQO552"/>
      <c r="VQP552"/>
      <c r="VQQ552"/>
      <c r="VQR552"/>
      <c r="VQS552"/>
      <c r="VQT552"/>
      <c r="VQU552"/>
      <c r="VQV552"/>
      <c r="VQW552"/>
      <c r="VQX552"/>
      <c r="VQY552"/>
      <c r="VQZ552"/>
      <c r="VRA552"/>
      <c r="VRB552"/>
      <c r="VRC552"/>
      <c r="VRD552"/>
      <c r="VRE552"/>
      <c r="VRF552"/>
      <c r="VRG552"/>
      <c r="VRH552"/>
      <c r="VRI552"/>
      <c r="VRJ552"/>
      <c r="VRK552"/>
      <c r="VRL552"/>
      <c r="VRM552"/>
      <c r="VRN552"/>
      <c r="VRO552"/>
      <c r="VRP552"/>
      <c r="VRQ552"/>
      <c r="VRR552"/>
      <c r="VRS552"/>
      <c r="VRT552"/>
      <c r="VRU552"/>
      <c r="VRV552"/>
      <c r="VRW552"/>
      <c r="VRX552"/>
      <c r="VRY552"/>
      <c r="VRZ552"/>
      <c r="VSA552"/>
      <c r="VSB552"/>
      <c r="VSC552"/>
      <c r="VSD552"/>
      <c r="VSE552"/>
      <c r="VSF552"/>
      <c r="VSG552"/>
      <c r="VSH552"/>
      <c r="VSI552"/>
      <c r="VSJ552"/>
      <c r="VSK552"/>
      <c r="VSL552"/>
      <c r="VSM552"/>
      <c r="VSN552"/>
      <c r="VSO552"/>
      <c r="VSP552"/>
      <c r="VSQ552"/>
      <c r="VSR552"/>
      <c r="VSS552"/>
      <c r="VST552"/>
      <c r="VSU552"/>
      <c r="VSV552"/>
      <c r="VSW552"/>
      <c r="VSX552"/>
      <c r="VSY552"/>
      <c r="VSZ552"/>
      <c r="VTA552"/>
      <c r="VTB552"/>
      <c r="VTC552"/>
      <c r="VTD552"/>
      <c r="VTE552"/>
      <c r="VTF552"/>
      <c r="VTG552"/>
      <c r="VTH552"/>
      <c r="VTI552"/>
      <c r="VTJ552"/>
      <c r="VTK552"/>
      <c r="VTL552"/>
      <c r="VTM552"/>
      <c r="VTN552"/>
      <c r="VTO552"/>
      <c r="VTP552"/>
      <c r="VTQ552"/>
      <c r="VTR552"/>
      <c r="VTS552"/>
      <c r="VTT552"/>
      <c r="VTU552"/>
      <c r="VTV552"/>
      <c r="VTW552"/>
      <c r="VTX552"/>
      <c r="VTY552"/>
      <c r="VTZ552"/>
      <c r="VUA552"/>
      <c r="VUB552"/>
      <c r="VUC552"/>
      <c r="VUD552"/>
      <c r="VUE552"/>
      <c r="VUF552"/>
      <c r="VUG552"/>
      <c r="VUH552"/>
      <c r="VUI552"/>
      <c r="VUJ552"/>
      <c r="VUK552"/>
      <c r="VUL552"/>
      <c r="VUM552"/>
      <c r="VUN552"/>
      <c r="VUO552"/>
      <c r="VUP552"/>
      <c r="VUQ552"/>
      <c r="VUR552"/>
      <c r="VUS552"/>
      <c r="VUT552"/>
      <c r="VUU552"/>
      <c r="VUV552"/>
      <c r="VUW552"/>
      <c r="VUX552"/>
      <c r="VUY552"/>
      <c r="VUZ552"/>
      <c r="VVA552"/>
      <c r="VVB552"/>
      <c r="VVC552"/>
      <c r="VVD552"/>
      <c r="VVE552"/>
      <c r="VVF552"/>
      <c r="VVG552"/>
      <c r="VVH552"/>
      <c r="VVI552"/>
      <c r="VVJ552"/>
      <c r="VVK552"/>
      <c r="VVL552"/>
      <c r="VVM552"/>
      <c r="VVN552"/>
      <c r="VVO552"/>
      <c r="VVP552"/>
      <c r="VVQ552"/>
      <c r="VVR552"/>
      <c r="VVS552"/>
      <c r="VVT552"/>
      <c r="VVU552"/>
      <c r="VVV552"/>
      <c r="VVW552"/>
      <c r="VVX552"/>
      <c r="VVY552"/>
      <c r="VVZ552"/>
      <c r="VWA552"/>
      <c r="VWB552"/>
      <c r="VWC552"/>
      <c r="VWD552"/>
      <c r="VWE552"/>
      <c r="VWF552"/>
      <c r="VWG552"/>
      <c r="VWH552"/>
      <c r="VWI552"/>
      <c r="VWJ552"/>
      <c r="VWK552"/>
      <c r="VWL552"/>
      <c r="VWM552"/>
      <c r="VWN552"/>
      <c r="VWO552"/>
      <c r="VWP552"/>
      <c r="VWQ552"/>
      <c r="VWR552"/>
      <c r="VWS552"/>
      <c r="VWT552"/>
      <c r="VWU552"/>
      <c r="VWV552"/>
      <c r="VWW552"/>
      <c r="VWX552"/>
      <c r="VWY552"/>
      <c r="VWZ552"/>
      <c r="VXA552"/>
      <c r="VXB552"/>
      <c r="VXC552"/>
      <c r="VXD552"/>
      <c r="VXE552"/>
      <c r="VXF552"/>
      <c r="VXG552"/>
      <c r="VXH552"/>
      <c r="VXI552"/>
      <c r="VXJ552"/>
      <c r="VXK552"/>
      <c r="VXL552"/>
      <c r="VXM552"/>
      <c r="VXN552"/>
      <c r="VXO552"/>
      <c r="VXP552"/>
      <c r="VXQ552"/>
      <c r="VXR552"/>
      <c r="VXS552"/>
      <c r="VXT552"/>
      <c r="VXU552"/>
      <c r="VXV552"/>
      <c r="VXW552"/>
      <c r="VXX552"/>
      <c r="VXY552"/>
      <c r="VXZ552"/>
      <c r="VYA552"/>
      <c r="VYB552"/>
      <c r="VYC552"/>
      <c r="VYD552"/>
      <c r="VYE552"/>
      <c r="VYF552"/>
      <c r="VYG552"/>
      <c r="VYH552"/>
      <c r="VYI552"/>
      <c r="VYJ552"/>
      <c r="VYK552"/>
      <c r="VYL552"/>
      <c r="VYM552"/>
      <c r="VYN552"/>
      <c r="VYO552"/>
      <c r="VYP552"/>
      <c r="VYQ552"/>
      <c r="VYR552"/>
      <c r="VYS552"/>
      <c r="VYT552"/>
      <c r="VYU552"/>
      <c r="VYV552"/>
      <c r="VYW552"/>
      <c r="VYX552"/>
      <c r="VYY552"/>
      <c r="VYZ552"/>
      <c r="VZA552"/>
      <c r="VZB552"/>
      <c r="VZC552"/>
      <c r="VZD552"/>
      <c r="VZE552"/>
      <c r="VZF552"/>
      <c r="VZG552"/>
      <c r="VZH552"/>
      <c r="VZI552"/>
      <c r="VZJ552"/>
      <c r="VZK552"/>
      <c r="VZL552"/>
      <c r="VZM552"/>
      <c r="VZN552"/>
      <c r="VZO552"/>
      <c r="VZP552"/>
      <c r="VZQ552"/>
      <c r="VZR552"/>
      <c r="VZS552"/>
      <c r="VZT552"/>
      <c r="VZU552"/>
      <c r="VZV552"/>
      <c r="VZW552"/>
      <c r="VZX552"/>
      <c r="VZY552"/>
      <c r="VZZ552"/>
      <c r="WAA552"/>
      <c r="WAB552"/>
      <c r="WAC552"/>
      <c r="WAD552"/>
      <c r="WAE552"/>
      <c r="WAF552"/>
      <c r="WAG552"/>
      <c r="WAH552"/>
      <c r="WAI552"/>
      <c r="WAJ552"/>
      <c r="WAK552"/>
      <c r="WAL552"/>
      <c r="WAM552"/>
      <c r="WAN552"/>
      <c r="WAO552"/>
      <c r="WAP552"/>
      <c r="WAQ552"/>
      <c r="WAR552"/>
      <c r="WAS552"/>
      <c r="WAT552"/>
      <c r="WAU552"/>
      <c r="WAV552"/>
      <c r="WAW552"/>
      <c r="WAX552"/>
      <c r="WAY552"/>
      <c r="WAZ552"/>
      <c r="WBA552"/>
      <c r="WBB552"/>
      <c r="WBC552"/>
      <c r="WBD552"/>
      <c r="WBE552"/>
      <c r="WBF552"/>
      <c r="WBG552"/>
      <c r="WBH552"/>
      <c r="WBI552"/>
      <c r="WBJ552"/>
      <c r="WBK552"/>
      <c r="WBL552"/>
      <c r="WBM552"/>
      <c r="WBN552"/>
      <c r="WBO552"/>
      <c r="WBP552"/>
      <c r="WBQ552"/>
      <c r="WBR552"/>
      <c r="WBS552"/>
      <c r="WBT552"/>
      <c r="WBU552"/>
      <c r="WBV552"/>
      <c r="WBW552"/>
      <c r="WBX552"/>
      <c r="WBY552"/>
      <c r="WBZ552"/>
      <c r="WCA552"/>
      <c r="WCB552"/>
      <c r="WCC552"/>
      <c r="WCD552"/>
      <c r="WCE552"/>
      <c r="WCF552"/>
      <c r="WCG552"/>
      <c r="WCH552"/>
      <c r="WCI552"/>
      <c r="WCJ552"/>
      <c r="WCK552"/>
      <c r="WCL552"/>
      <c r="WCM552"/>
      <c r="WCN552"/>
      <c r="WCO552"/>
      <c r="WCP552"/>
      <c r="WCQ552"/>
      <c r="WCR552"/>
      <c r="WCS552"/>
      <c r="WCT552"/>
      <c r="WCU552"/>
      <c r="WCV552"/>
      <c r="WCW552"/>
      <c r="WCX552"/>
      <c r="WCY552"/>
      <c r="WCZ552"/>
      <c r="WDA552"/>
      <c r="WDB552"/>
      <c r="WDC552"/>
      <c r="WDD552"/>
      <c r="WDE552"/>
      <c r="WDF552"/>
      <c r="WDG552"/>
      <c r="WDH552"/>
      <c r="WDI552"/>
      <c r="WDJ552"/>
      <c r="WDK552"/>
      <c r="WDL552"/>
      <c r="WDM552"/>
      <c r="WDN552"/>
      <c r="WDO552"/>
      <c r="WDP552"/>
      <c r="WDQ552"/>
      <c r="WDR552"/>
      <c r="WDS552"/>
      <c r="WDT552"/>
      <c r="WDU552"/>
      <c r="WDV552"/>
      <c r="WDW552"/>
      <c r="WDX552"/>
      <c r="WDY552"/>
      <c r="WDZ552"/>
      <c r="WEA552"/>
      <c r="WEB552"/>
      <c r="WEC552"/>
      <c r="WED552"/>
      <c r="WEE552"/>
      <c r="WEF552"/>
      <c r="WEG552"/>
      <c r="WEH552"/>
      <c r="WEI552"/>
      <c r="WEJ552"/>
      <c r="WEK552"/>
      <c r="WEL552"/>
      <c r="WEM552"/>
      <c r="WEN552"/>
      <c r="WEO552"/>
      <c r="WEP552"/>
      <c r="WEQ552"/>
      <c r="WER552"/>
      <c r="WES552"/>
      <c r="WET552"/>
      <c r="WEU552"/>
      <c r="WEV552"/>
      <c r="WEW552"/>
      <c r="WEX552"/>
      <c r="WEY552"/>
      <c r="WEZ552"/>
      <c r="WFA552"/>
      <c r="WFB552"/>
      <c r="WFC552"/>
      <c r="WFD552"/>
      <c r="WFE552"/>
      <c r="WFF552"/>
      <c r="WFG552"/>
      <c r="WFH552"/>
      <c r="WFI552"/>
      <c r="WFJ552"/>
      <c r="WFK552"/>
      <c r="WFL552"/>
      <c r="WFM552"/>
      <c r="WFN552"/>
      <c r="WFO552"/>
      <c r="WFP552"/>
      <c r="WFQ552"/>
      <c r="WFR552"/>
      <c r="WFS552"/>
      <c r="WFT552"/>
      <c r="WFU552"/>
      <c r="WFV552"/>
      <c r="WFW552"/>
      <c r="WFX552"/>
      <c r="WFY552"/>
      <c r="WFZ552"/>
      <c r="WGA552"/>
      <c r="WGB552"/>
      <c r="WGC552"/>
      <c r="WGD552"/>
      <c r="WGE552"/>
      <c r="WGF552"/>
      <c r="WGG552"/>
      <c r="WGH552"/>
      <c r="WGI552"/>
      <c r="WGJ552"/>
      <c r="WGK552"/>
      <c r="WGL552"/>
      <c r="WGM552"/>
      <c r="WGN552"/>
      <c r="WGO552"/>
      <c r="WGP552"/>
      <c r="WGQ552"/>
      <c r="WGR552"/>
      <c r="WGS552"/>
      <c r="WGT552"/>
      <c r="WGU552"/>
      <c r="WGV552"/>
      <c r="WGW552"/>
      <c r="WGX552"/>
      <c r="WGY552"/>
      <c r="WGZ552"/>
      <c r="WHA552"/>
      <c r="WHB552"/>
      <c r="WHC552"/>
      <c r="WHD552"/>
      <c r="WHE552"/>
      <c r="WHF552"/>
      <c r="WHG552"/>
      <c r="WHH552"/>
      <c r="WHI552"/>
      <c r="WHJ552"/>
      <c r="WHK552"/>
      <c r="WHL552"/>
      <c r="WHM552"/>
      <c r="WHN552"/>
      <c r="WHO552"/>
      <c r="WHP552"/>
      <c r="WHQ552"/>
      <c r="WHR552"/>
      <c r="WHS552"/>
      <c r="WHT552"/>
      <c r="WHU552"/>
      <c r="WHV552"/>
      <c r="WHW552"/>
      <c r="WHX552"/>
      <c r="WHY552"/>
      <c r="WHZ552"/>
      <c r="WIA552"/>
      <c r="WIB552"/>
      <c r="WIC552"/>
      <c r="WID552"/>
      <c r="WIE552"/>
      <c r="WIF552"/>
      <c r="WIG552"/>
      <c r="WIH552"/>
      <c r="WII552"/>
      <c r="WIJ552"/>
      <c r="WIK552"/>
      <c r="WIL552"/>
      <c r="WIM552"/>
      <c r="WIN552"/>
      <c r="WIO552"/>
      <c r="WIP552"/>
      <c r="WIQ552"/>
      <c r="WIR552"/>
      <c r="WIS552"/>
      <c r="WIT552"/>
      <c r="WIU552"/>
      <c r="WIV552"/>
      <c r="WIW552"/>
      <c r="WIX552"/>
      <c r="WIY552"/>
      <c r="WIZ552"/>
      <c r="WJA552"/>
      <c r="WJB552"/>
      <c r="WJC552"/>
      <c r="WJD552"/>
      <c r="WJE552"/>
      <c r="WJF552"/>
      <c r="WJG552"/>
      <c r="WJH552"/>
      <c r="WJI552"/>
      <c r="WJJ552"/>
      <c r="WJK552"/>
      <c r="WJL552"/>
      <c r="WJM552"/>
      <c r="WJN552"/>
      <c r="WJO552"/>
      <c r="WJP552"/>
      <c r="WJQ552"/>
      <c r="WJR552"/>
      <c r="WJS552"/>
      <c r="WJT552"/>
      <c r="WJU552"/>
      <c r="WJV552"/>
      <c r="WJW552"/>
      <c r="WJX552"/>
      <c r="WJY552"/>
      <c r="WJZ552"/>
      <c r="WKA552"/>
      <c r="WKB552"/>
      <c r="WKC552"/>
      <c r="WKD552"/>
      <c r="WKE552"/>
      <c r="WKF552"/>
      <c r="WKG552"/>
      <c r="WKH552"/>
      <c r="WKI552"/>
      <c r="WKJ552"/>
      <c r="WKK552"/>
      <c r="WKL552"/>
      <c r="WKM552"/>
      <c r="WKN552"/>
      <c r="WKO552"/>
      <c r="WKP552"/>
      <c r="WKQ552"/>
      <c r="WKR552"/>
      <c r="WKS552"/>
      <c r="WKT552"/>
      <c r="WKU552"/>
      <c r="WKV552"/>
      <c r="WKW552"/>
      <c r="WKX552"/>
      <c r="WKY552"/>
      <c r="WKZ552"/>
      <c r="WLA552"/>
      <c r="WLB552"/>
      <c r="WLC552"/>
      <c r="WLD552"/>
      <c r="WLE552"/>
      <c r="WLF552"/>
      <c r="WLG552"/>
      <c r="WLH552"/>
      <c r="WLI552"/>
      <c r="WLJ552"/>
      <c r="WLK552"/>
      <c r="WLL552"/>
      <c r="WLM552"/>
      <c r="WLN552"/>
      <c r="WLO552"/>
      <c r="WLP552"/>
      <c r="WLQ552"/>
      <c r="WLR552"/>
      <c r="WLS552"/>
      <c r="WLT552"/>
      <c r="WLU552"/>
      <c r="WLV552"/>
      <c r="WLW552"/>
      <c r="WLX552"/>
      <c r="WLY552"/>
      <c r="WLZ552"/>
      <c r="WMA552"/>
      <c r="WMB552"/>
      <c r="WMC552"/>
      <c r="WMD552"/>
      <c r="WME552"/>
      <c r="WMF552"/>
      <c r="WMG552"/>
      <c r="WMH552"/>
      <c r="WMI552"/>
      <c r="WMJ552"/>
      <c r="WMK552"/>
      <c r="WML552"/>
      <c r="WMM552"/>
      <c r="WMN552"/>
      <c r="WMO552"/>
      <c r="WMP552"/>
      <c r="WMQ552"/>
      <c r="WMR552"/>
      <c r="WMS552"/>
      <c r="WMT552"/>
      <c r="WMU552"/>
      <c r="WMV552"/>
      <c r="WMW552"/>
      <c r="WMX552"/>
      <c r="WMY552"/>
      <c r="WMZ552"/>
      <c r="WNA552"/>
      <c r="WNB552"/>
      <c r="WNC552"/>
      <c r="WND552"/>
      <c r="WNE552"/>
      <c r="WNF552"/>
      <c r="WNG552"/>
      <c r="WNH552"/>
      <c r="WNI552"/>
      <c r="WNJ552"/>
      <c r="WNK552"/>
      <c r="WNL552"/>
      <c r="WNM552"/>
      <c r="WNN552"/>
      <c r="WNO552"/>
      <c r="WNP552"/>
      <c r="WNQ552"/>
      <c r="WNR552"/>
      <c r="WNS552"/>
      <c r="WNT552"/>
      <c r="WNU552"/>
      <c r="WNV552"/>
      <c r="WNW552"/>
      <c r="WNX552"/>
      <c r="WNY552"/>
      <c r="WNZ552"/>
      <c r="WOA552"/>
      <c r="WOB552"/>
      <c r="WOC552"/>
      <c r="WOD552"/>
      <c r="WOE552"/>
      <c r="WOF552"/>
      <c r="WOG552"/>
      <c r="WOH552"/>
      <c r="WOI552"/>
      <c r="WOJ552"/>
      <c r="WOK552"/>
      <c r="WOL552"/>
      <c r="WOM552"/>
      <c r="WON552"/>
      <c r="WOO552"/>
      <c r="WOP552"/>
      <c r="WOQ552"/>
      <c r="WOR552"/>
      <c r="WOS552"/>
      <c r="WOT552"/>
      <c r="WOU552"/>
      <c r="WOV552"/>
      <c r="WOW552"/>
      <c r="WOX552"/>
      <c r="WOY552"/>
      <c r="WOZ552"/>
      <c r="WPA552"/>
      <c r="WPB552"/>
      <c r="WPC552"/>
      <c r="WPD552"/>
      <c r="WPE552"/>
      <c r="WPF552"/>
      <c r="WPG552"/>
      <c r="WPH552"/>
      <c r="WPI552"/>
      <c r="WPJ552"/>
      <c r="WPK552"/>
      <c r="WPL552"/>
      <c r="WPM552"/>
      <c r="WPN552"/>
      <c r="WPO552"/>
      <c r="WPP552"/>
      <c r="WPQ552"/>
      <c r="WPR552"/>
      <c r="WPS552"/>
      <c r="WPT552"/>
      <c r="WPU552"/>
      <c r="WPV552"/>
      <c r="WPW552"/>
      <c r="WPX552"/>
      <c r="WPY552"/>
      <c r="WPZ552"/>
      <c r="WQA552"/>
      <c r="WQB552"/>
      <c r="WQC552"/>
      <c r="WQD552"/>
      <c r="WQE552"/>
      <c r="WQF552"/>
      <c r="WQG552"/>
      <c r="WQH552"/>
      <c r="WQI552"/>
      <c r="WQJ552"/>
      <c r="WQK552"/>
      <c r="WQL552"/>
      <c r="WQM552"/>
      <c r="WQN552"/>
      <c r="WQO552"/>
      <c r="WQP552"/>
      <c r="WQQ552"/>
      <c r="WQR552"/>
      <c r="WQS552"/>
      <c r="WQT552"/>
      <c r="WQU552"/>
      <c r="WQV552"/>
      <c r="WQW552"/>
      <c r="WQX552"/>
      <c r="WQY552"/>
      <c r="WQZ552"/>
      <c r="WRA552"/>
      <c r="WRB552"/>
      <c r="WRC552"/>
      <c r="WRD552"/>
      <c r="WRE552"/>
      <c r="WRF552"/>
      <c r="WRG552"/>
      <c r="WRH552"/>
      <c r="WRI552"/>
      <c r="WRJ552"/>
      <c r="WRK552"/>
      <c r="WRL552"/>
      <c r="WRM552"/>
      <c r="WRN552"/>
      <c r="WRO552"/>
      <c r="WRP552"/>
      <c r="WRQ552"/>
      <c r="WRR552"/>
      <c r="WRS552"/>
      <c r="WRT552"/>
      <c r="WRU552"/>
      <c r="WRV552"/>
      <c r="WRW552"/>
      <c r="WRX552"/>
      <c r="WRY552"/>
      <c r="WRZ552"/>
      <c r="WSA552"/>
      <c r="WSB552"/>
      <c r="WSC552"/>
      <c r="WSD552"/>
      <c r="WSE552"/>
      <c r="WSF552"/>
      <c r="WSG552"/>
      <c r="WSH552"/>
      <c r="WSI552"/>
      <c r="WSJ552"/>
      <c r="WSK552"/>
      <c r="WSL552"/>
      <c r="WSM552"/>
      <c r="WSN552"/>
      <c r="WSO552"/>
      <c r="WSP552"/>
      <c r="WSQ552"/>
      <c r="WSR552"/>
      <c r="WSS552"/>
      <c r="WST552"/>
      <c r="WSU552"/>
      <c r="WSV552"/>
      <c r="WSW552"/>
      <c r="WSX552"/>
      <c r="WSY552"/>
      <c r="WSZ552"/>
      <c r="WTA552"/>
      <c r="WTB552"/>
      <c r="WTC552"/>
      <c r="WTD552"/>
      <c r="WTE552"/>
      <c r="WTF552"/>
      <c r="WTG552"/>
      <c r="WTH552"/>
      <c r="WTI552"/>
      <c r="WTJ552"/>
      <c r="WTK552"/>
      <c r="WTL552"/>
      <c r="WTM552"/>
      <c r="WTN552"/>
      <c r="WTO552"/>
      <c r="WTP552"/>
      <c r="WTQ552"/>
      <c r="WTR552"/>
      <c r="WTS552"/>
      <c r="WTT552"/>
      <c r="WTU552"/>
      <c r="WTV552"/>
      <c r="WTW552"/>
      <c r="WTX552"/>
      <c r="WTY552"/>
      <c r="WTZ552"/>
      <c r="WUA552"/>
      <c r="WUB552"/>
      <c r="WUC552"/>
      <c r="WUD552"/>
      <c r="WUE552"/>
      <c r="WUF552"/>
      <c r="WUG552"/>
      <c r="WUH552"/>
      <c r="WUI552"/>
      <c r="WUJ552"/>
      <c r="WUK552"/>
      <c r="WUL552"/>
      <c r="WUM552"/>
      <c r="WUN552"/>
      <c r="WUO552"/>
      <c r="WUP552"/>
      <c r="WUQ552"/>
      <c r="WUR552"/>
      <c r="WUS552"/>
      <c r="WUT552"/>
      <c r="WUU552"/>
      <c r="WUV552"/>
      <c r="WUW552"/>
      <c r="WUX552"/>
      <c r="WUY552"/>
      <c r="WUZ552"/>
      <c r="WVA552"/>
      <c r="WVB552"/>
      <c r="WVC552"/>
      <c r="WVD552"/>
      <c r="WVE552"/>
      <c r="WVF552"/>
      <c r="WVG552"/>
      <c r="WVH552"/>
      <c r="WVI552"/>
      <c r="WVJ552"/>
      <c r="WVK552"/>
      <c r="WVL552"/>
      <c r="WVM552"/>
      <c r="WVN552"/>
      <c r="WVO552"/>
      <c r="WVP552"/>
      <c r="WVQ552"/>
      <c r="WVR552"/>
      <c r="WVS552"/>
      <c r="WVT552"/>
      <c r="WVU552"/>
      <c r="WVV552"/>
      <c r="WVW552"/>
      <c r="WVX552"/>
      <c r="WVY552"/>
      <c r="WVZ552"/>
      <c r="WWA552"/>
      <c r="WWB552"/>
      <c r="WWC552"/>
      <c r="WWD552"/>
      <c r="WWE552"/>
      <c r="WWF552"/>
      <c r="WWG552"/>
      <c r="WWH552"/>
      <c r="WWI552"/>
      <c r="WWJ552"/>
      <c r="WWK552"/>
      <c r="WWL552"/>
      <c r="WWM552"/>
      <c r="WWN552"/>
      <c r="WWO552"/>
      <c r="WWP552"/>
      <c r="WWQ552"/>
      <c r="WWR552"/>
      <c r="WWS552"/>
      <c r="WWT552"/>
      <c r="WWU552"/>
      <c r="WWV552"/>
      <c r="WWW552"/>
      <c r="WWX552"/>
      <c r="WWY552"/>
      <c r="WWZ552"/>
      <c r="WXA552"/>
      <c r="WXB552"/>
      <c r="WXC552"/>
      <c r="WXD552"/>
      <c r="WXE552"/>
      <c r="WXF552"/>
      <c r="WXG552"/>
      <c r="WXH552"/>
      <c r="WXI552"/>
      <c r="WXJ552"/>
      <c r="WXK552"/>
      <c r="WXL552"/>
      <c r="WXM552"/>
      <c r="WXN552"/>
      <c r="WXO552"/>
      <c r="WXP552"/>
      <c r="WXQ552"/>
      <c r="WXR552"/>
      <c r="WXS552"/>
      <c r="WXT552"/>
      <c r="WXU552"/>
      <c r="WXV552"/>
      <c r="WXW552"/>
      <c r="WXX552"/>
      <c r="WXY552"/>
      <c r="WXZ552"/>
      <c r="WYA552"/>
      <c r="WYB552"/>
      <c r="WYC552"/>
      <c r="WYD552"/>
      <c r="WYE552"/>
      <c r="WYF552"/>
      <c r="WYG552"/>
      <c r="WYH552"/>
      <c r="WYI552"/>
      <c r="WYJ552"/>
      <c r="WYK552"/>
      <c r="WYL552"/>
      <c r="WYM552"/>
      <c r="WYN552"/>
      <c r="WYO552"/>
      <c r="WYP552"/>
      <c r="WYQ552"/>
      <c r="WYR552"/>
      <c r="WYS552"/>
      <c r="WYT552"/>
      <c r="WYU552"/>
      <c r="WYV552"/>
      <c r="WYW552"/>
      <c r="WYX552"/>
      <c r="WYY552"/>
      <c r="WYZ552"/>
      <c r="WZA552"/>
      <c r="WZB552"/>
      <c r="WZC552"/>
      <c r="WZD552"/>
      <c r="WZE552"/>
      <c r="WZF552"/>
      <c r="WZG552"/>
      <c r="WZH552"/>
      <c r="WZI552"/>
      <c r="WZJ552"/>
      <c r="WZK552"/>
      <c r="WZL552"/>
      <c r="WZM552"/>
      <c r="WZN552"/>
      <c r="WZO552"/>
      <c r="WZP552"/>
      <c r="WZQ552"/>
      <c r="WZR552"/>
      <c r="WZS552"/>
      <c r="WZT552"/>
      <c r="WZU552"/>
      <c r="WZV552"/>
      <c r="WZW552"/>
      <c r="WZX552"/>
      <c r="WZY552"/>
      <c r="WZZ552"/>
      <c r="XAA552"/>
      <c r="XAB552"/>
      <c r="XAC552"/>
      <c r="XAD552"/>
      <c r="XAE552"/>
      <c r="XAF552"/>
      <c r="XAG552"/>
      <c r="XAH552"/>
      <c r="XAI552"/>
      <c r="XAJ552"/>
      <c r="XAK552"/>
      <c r="XAL552"/>
      <c r="XAM552"/>
      <c r="XAN552"/>
      <c r="XAO552"/>
      <c r="XAP552"/>
      <c r="XAQ552"/>
      <c r="XAR552"/>
      <c r="XAS552"/>
      <c r="XAT552"/>
      <c r="XAU552"/>
      <c r="XAV552"/>
      <c r="XAW552"/>
      <c r="XAX552"/>
      <c r="XAY552"/>
      <c r="XAZ552"/>
      <c r="XBA552"/>
      <c r="XBB552"/>
      <c r="XBC552"/>
      <c r="XBD552"/>
      <c r="XBE552"/>
      <c r="XBF552"/>
      <c r="XBG552"/>
      <c r="XBH552"/>
      <c r="XBI552"/>
      <c r="XBJ552"/>
      <c r="XBK552"/>
      <c r="XBL552"/>
      <c r="XBM552"/>
      <c r="XBN552"/>
      <c r="XBO552"/>
      <c r="XBP552"/>
      <c r="XBQ552"/>
      <c r="XBR552"/>
      <c r="XBS552"/>
      <c r="XBT552"/>
      <c r="XBU552"/>
      <c r="XBV552"/>
      <c r="XBW552"/>
      <c r="XBX552"/>
      <c r="XBY552"/>
      <c r="XBZ552"/>
      <c r="XCA552"/>
      <c r="XCB552"/>
      <c r="XCC552"/>
      <c r="XCD552"/>
      <c r="XCE552"/>
      <c r="XCF552"/>
      <c r="XCG552"/>
      <c r="XCH552"/>
      <c r="XCI552"/>
      <c r="XCJ552"/>
      <c r="XCK552"/>
      <c r="XCL552"/>
      <c r="XCM552"/>
      <c r="XCN552"/>
      <c r="XCO552"/>
      <c r="XCP552"/>
      <c r="XCQ552"/>
      <c r="XCR552"/>
      <c r="XCS552"/>
      <c r="XCT552"/>
      <c r="XCU552"/>
      <c r="XCV552"/>
      <c r="XCW552"/>
      <c r="XCX552"/>
      <c r="XCY552"/>
      <c r="XCZ552"/>
      <c r="XDA552"/>
      <c r="XDB552"/>
      <c r="XDC552"/>
      <c r="XDD552"/>
      <c r="XDE552"/>
      <c r="XDF552"/>
      <c r="XDG552"/>
      <c r="XDH552"/>
      <c r="XDI552"/>
      <c r="XDJ552"/>
      <c r="XDK552"/>
      <c r="XDL552"/>
      <c r="XDM552"/>
      <c r="XDN552"/>
      <c r="XDO552"/>
      <c r="XDP552"/>
      <c r="XDQ552"/>
      <c r="XDR552"/>
      <c r="XDS552"/>
      <c r="XDT552"/>
      <c r="XDU552"/>
      <c r="XDV552"/>
      <c r="XDW552"/>
      <c r="XDX552"/>
      <c r="XDY552"/>
      <c r="XDZ552"/>
      <c r="XEA552"/>
      <c r="XEB552"/>
      <c r="XEC552"/>
      <c r="XED552"/>
      <c r="XEE552"/>
      <c r="XEF552"/>
      <c r="XEG552"/>
      <c r="XEH552"/>
      <c r="XEI552"/>
      <c r="XEJ552"/>
      <c r="XEK552"/>
      <c r="XEL552"/>
      <c r="XEM552"/>
      <c r="XEN552"/>
      <c r="XEO552"/>
      <c r="XEP552"/>
      <c r="XEQ552"/>
      <c r="XER552"/>
      <c r="XES552"/>
      <c r="XET552"/>
      <c r="XEU552"/>
      <c r="XEV552"/>
      <c r="XEW552"/>
      <c r="XEX552"/>
      <c r="XEY552"/>
      <c r="XEZ552"/>
    </row>
    <row r="553" spans="1:16380">
      <c r="A553" s="68" t="s">
        <v>1512</v>
      </c>
      <c r="B553" s="349" t="s">
        <v>2166</v>
      </c>
      <c r="C553" s="359">
        <v>152.4</v>
      </c>
      <c r="D553" s="359">
        <v>152.4</v>
      </c>
      <c r="E553" s="359">
        <v>76.2</v>
      </c>
      <c r="F553" s="359">
        <v>63.5</v>
      </c>
      <c r="G553" s="17">
        <f t="shared" ref="G553:G560" si="63">((E553+F553)/2)*D553*C553/10^6</f>
        <v>1.6223193359999999</v>
      </c>
      <c r="K553" s="59"/>
      <c r="L553" s="20"/>
      <c r="M553" s="20"/>
      <c r="N553" s="20"/>
      <c r="O553" s="20"/>
      <c r="P553" s="20"/>
      <c r="Q553" s="23"/>
      <c r="R553" s="22" t="s">
        <v>16</v>
      </c>
      <c r="S553" s="22" t="s">
        <v>16</v>
      </c>
      <c r="T553" s="20">
        <f t="shared" si="62"/>
        <v>1854.40763587729</v>
      </c>
      <c r="U553" s="22">
        <v>1</v>
      </c>
      <c r="V553"/>
      <c r="W553"/>
      <c r="X553" s="352"/>
      <c r="Y553"/>
      <c r="Z553"/>
      <c r="AA553"/>
      <c r="AB553"/>
      <c r="AC553"/>
      <c r="AD553"/>
      <c r="AE553"/>
      <c r="AF553"/>
      <c r="AG553"/>
      <c r="AH553"/>
      <c r="AI553"/>
      <c r="AJ553" s="352"/>
      <c r="AK553"/>
      <c r="AL553"/>
      <c r="AM553"/>
      <c r="AN553"/>
      <c r="AO553"/>
      <c r="AP553"/>
      <c r="AQ553"/>
      <c r="AR553"/>
      <c r="AS553"/>
      <c r="AT553"/>
      <c r="AU553"/>
      <c r="AV553"/>
      <c r="AW553"/>
      <c r="AX553"/>
      <c r="AY553"/>
      <c r="AZ553"/>
      <c r="BA553"/>
      <c r="BB553"/>
      <c r="BC553"/>
      <c r="BD553"/>
      <c r="BE553"/>
      <c r="BF553"/>
      <c r="BG553"/>
      <c r="BH553"/>
      <c r="BI553"/>
      <c r="BJ553"/>
      <c r="BK553"/>
      <c r="BL553"/>
      <c r="BM553"/>
      <c r="BN553"/>
      <c r="BO553"/>
      <c r="BP553"/>
      <c r="BQ553"/>
      <c r="BR553"/>
      <c r="BS553"/>
      <c r="BT553"/>
      <c r="BU553"/>
      <c r="BV553"/>
      <c r="BW553"/>
      <c r="BX553"/>
      <c r="BY553"/>
      <c r="BZ553"/>
      <c r="CA553"/>
      <c r="CB553"/>
      <c r="CC553"/>
      <c r="CD553"/>
      <c r="CE553"/>
      <c r="CF553"/>
      <c r="CG553"/>
      <c r="CH553"/>
      <c r="CI553"/>
      <c r="CJ553"/>
      <c r="CK553"/>
      <c r="CL553"/>
      <c r="CM553"/>
      <c r="CN553"/>
      <c r="CO553"/>
      <c r="CP553"/>
      <c r="CQ553"/>
      <c r="CR553"/>
      <c r="CS553"/>
      <c r="CT553"/>
      <c r="CU553"/>
      <c r="CV553"/>
      <c r="CW553"/>
      <c r="CX553"/>
      <c r="CY553"/>
      <c r="CZ553"/>
      <c r="DA553"/>
      <c r="DB553"/>
      <c r="DC553"/>
      <c r="DD553"/>
      <c r="DE553"/>
      <c r="DF553"/>
      <c r="DG553"/>
      <c r="DH553"/>
      <c r="DI553"/>
      <c r="DJ553"/>
      <c r="DK553"/>
      <c r="DL553"/>
      <c r="DM553"/>
      <c r="DN553"/>
      <c r="DO553"/>
      <c r="DP553"/>
      <c r="DQ553"/>
      <c r="DR553"/>
      <c r="DS553"/>
      <c r="DT553"/>
      <c r="DU553"/>
      <c r="DV553"/>
      <c r="DW553"/>
      <c r="DX553"/>
      <c r="DY553"/>
      <c r="DZ553"/>
      <c r="EA553"/>
      <c r="EB553"/>
      <c r="EC553"/>
      <c r="ED553"/>
      <c r="EE553"/>
      <c r="EF553"/>
      <c r="EG553"/>
      <c r="EH553"/>
      <c r="EI553"/>
      <c r="EJ553"/>
      <c r="EK553"/>
      <c r="EL553"/>
      <c r="EM553"/>
      <c r="EN553"/>
      <c r="EO553"/>
      <c r="EP553"/>
      <c r="EQ553"/>
      <c r="ER553"/>
      <c r="ES553"/>
      <c r="ET553"/>
      <c r="EU553"/>
      <c r="EV553"/>
      <c r="EW553"/>
      <c r="EX553"/>
      <c r="EY553"/>
      <c r="EZ553"/>
      <c r="FA553"/>
      <c r="FB553"/>
      <c r="FC553"/>
      <c r="FD553"/>
      <c r="FE553"/>
      <c r="FF553"/>
      <c r="FG553"/>
      <c r="FH553"/>
      <c r="FI553"/>
      <c r="FJ553"/>
      <c r="FK553"/>
      <c r="FL553"/>
      <c r="FM553"/>
      <c r="FN553"/>
      <c r="FO553"/>
      <c r="FP553"/>
      <c r="FQ553"/>
      <c r="FR553"/>
      <c r="FS553"/>
      <c r="FT553"/>
      <c r="FU553"/>
      <c r="FV553"/>
      <c r="FW553"/>
      <c r="FX553"/>
      <c r="FY553"/>
      <c r="FZ553"/>
      <c r="GA553"/>
      <c r="GB553"/>
      <c r="GC553"/>
      <c r="GD553"/>
      <c r="GE553"/>
      <c r="GF553"/>
      <c r="GG553"/>
      <c r="GH553"/>
      <c r="GI553"/>
      <c r="GJ553"/>
      <c r="GK553"/>
      <c r="GL553"/>
      <c r="GM553"/>
      <c r="GN553"/>
      <c r="GO553"/>
      <c r="GP553"/>
      <c r="GQ553"/>
      <c r="GR553"/>
      <c r="GS553"/>
      <c r="GT553"/>
      <c r="GU553"/>
      <c r="GV553"/>
      <c r="GW553"/>
      <c r="GX553"/>
      <c r="GY553"/>
      <c r="GZ553"/>
      <c r="HA553"/>
      <c r="HB553"/>
      <c r="HC553"/>
      <c r="HD553"/>
      <c r="HE553"/>
      <c r="HF553"/>
      <c r="HG553"/>
      <c r="HH553"/>
      <c r="HI553"/>
      <c r="HJ553"/>
      <c r="HK553"/>
      <c r="HL553"/>
      <c r="HM553"/>
      <c r="HN553"/>
      <c r="HO553"/>
      <c r="HP553"/>
      <c r="HQ553"/>
      <c r="HR553"/>
      <c r="HS553"/>
      <c r="HT553"/>
      <c r="HU553"/>
      <c r="HV553"/>
      <c r="HW553"/>
      <c r="HX553"/>
      <c r="HY553"/>
      <c r="HZ553"/>
      <c r="IA553"/>
      <c r="IB553"/>
      <c r="IC553"/>
      <c r="ID553"/>
      <c r="IE553"/>
      <c r="IF553"/>
      <c r="IG553"/>
      <c r="IH553"/>
      <c r="II553"/>
      <c r="IJ553"/>
      <c r="IK553"/>
      <c r="IL553"/>
      <c r="IM553"/>
      <c r="IN553"/>
      <c r="IO553"/>
      <c r="IP553"/>
      <c r="IQ553"/>
      <c r="IR553"/>
      <c r="IS553"/>
      <c r="IT553"/>
      <c r="IU553"/>
      <c r="IV553"/>
      <c r="IW553"/>
      <c r="IX553"/>
      <c r="IY553"/>
      <c r="IZ553"/>
      <c r="JA553"/>
      <c r="JB553"/>
      <c r="JC553"/>
      <c r="JD553"/>
      <c r="JE553"/>
      <c r="JF553"/>
      <c r="JG553"/>
      <c r="JH553"/>
      <c r="JI553"/>
      <c r="JJ553"/>
      <c r="JK553"/>
      <c r="JL553"/>
      <c r="JM553"/>
      <c r="JN553"/>
      <c r="JO553"/>
      <c r="JP553"/>
      <c r="JQ553"/>
      <c r="JR553"/>
      <c r="JS553"/>
      <c r="JT553"/>
      <c r="JU553"/>
      <c r="JV553"/>
      <c r="JW553"/>
      <c r="JX553"/>
      <c r="JY553"/>
      <c r="JZ553"/>
      <c r="KA553"/>
      <c r="KB553"/>
      <c r="KC553"/>
      <c r="KD553"/>
      <c r="KE553"/>
      <c r="KF553"/>
      <c r="KG553"/>
      <c r="KH553"/>
      <c r="KI553"/>
      <c r="KJ553"/>
      <c r="KK553"/>
      <c r="KL553"/>
      <c r="KM553"/>
      <c r="KN553"/>
      <c r="KO553"/>
      <c r="KP553"/>
      <c r="KQ553"/>
      <c r="KR553"/>
      <c r="KS553"/>
      <c r="KT553"/>
      <c r="KU553"/>
      <c r="KV553"/>
      <c r="KW553"/>
      <c r="KX553"/>
      <c r="KY553"/>
      <c r="KZ553"/>
      <c r="LA553"/>
      <c r="LB553"/>
      <c r="LC553"/>
      <c r="LD553"/>
      <c r="LE553"/>
      <c r="LF553"/>
      <c r="LG553"/>
      <c r="LH553"/>
      <c r="LI553"/>
      <c r="LJ553"/>
      <c r="LK553"/>
      <c r="LL553"/>
      <c r="LM553"/>
      <c r="LN553"/>
      <c r="LO553"/>
      <c r="LP553"/>
      <c r="LQ553"/>
      <c r="LR553"/>
      <c r="LS553"/>
      <c r="LT553"/>
      <c r="LU553"/>
      <c r="LV553"/>
      <c r="LW553"/>
      <c r="LX553"/>
      <c r="LY553"/>
      <c r="LZ553"/>
      <c r="MA553"/>
      <c r="MB553"/>
      <c r="MC553"/>
      <c r="MD553"/>
      <c r="ME553"/>
      <c r="MF553"/>
      <c r="MG553"/>
      <c r="MH553"/>
      <c r="MI553"/>
      <c r="MJ553"/>
      <c r="MK553"/>
      <c r="ML553"/>
      <c r="MM553"/>
      <c r="MN553"/>
      <c r="MO553"/>
      <c r="MP553"/>
      <c r="MQ553"/>
      <c r="MR553"/>
      <c r="MS553"/>
      <c r="MT553"/>
      <c r="MU553"/>
      <c r="MV553"/>
      <c r="MW553"/>
      <c r="MX553"/>
      <c r="MY553"/>
      <c r="MZ553"/>
      <c r="NA553"/>
      <c r="NB553"/>
      <c r="NC553"/>
      <c r="ND553"/>
      <c r="NE553"/>
      <c r="NF553"/>
      <c r="NG553"/>
      <c r="NH553"/>
      <c r="NI553"/>
      <c r="NJ553"/>
      <c r="NK553"/>
      <c r="NL553"/>
      <c r="NM553"/>
      <c r="NN553"/>
      <c r="NO553"/>
      <c r="NP553"/>
      <c r="NQ553"/>
      <c r="NR553"/>
      <c r="NS553"/>
      <c r="NT553"/>
      <c r="NU553"/>
      <c r="NV553"/>
      <c r="NW553"/>
      <c r="NX553"/>
      <c r="NY553"/>
      <c r="NZ553"/>
      <c r="OA553"/>
      <c r="OB553"/>
      <c r="OC553"/>
      <c r="OD553"/>
      <c r="OE553"/>
      <c r="OF553"/>
      <c r="OG553"/>
      <c r="OH553"/>
      <c r="OI553"/>
      <c r="OJ553"/>
      <c r="OK553"/>
      <c r="OL553"/>
      <c r="OM553"/>
      <c r="ON553"/>
      <c r="OO553"/>
      <c r="OP553"/>
      <c r="OQ553"/>
      <c r="OR553"/>
      <c r="OS553"/>
      <c r="OT553"/>
      <c r="OU553"/>
      <c r="OV553"/>
      <c r="OW553"/>
      <c r="OX553"/>
      <c r="OY553"/>
      <c r="OZ553"/>
      <c r="PA553"/>
      <c r="PB553"/>
      <c r="PC553"/>
      <c r="PD553"/>
      <c r="PE553"/>
      <c r="PF553"/>
      <c r="PG553"/>
      <c r="PH553"/>
      <c r="PI553"/>
      <c r="PJ553"/>
      <c r="PK553"/>
      <c r="PL553"/>
      <c r="PM553"/>
      <c r="PN553"/>
      <c r="PO553"/>
      <c r="PP553"/>
      <c r="PQ553"/>
      <c r="PR553"/>
      <c r="PS553"/>
      <c r="PT553"/>
      <c r="PU553"/>
      <c r="PV553"/>
      <c r="PW553"/>
      <c r="PX553"/>
      <c r="PY553"/>
      <c r="PZ553"/>
      <c r="QA553"/>
      <c r="QB553"/>
      <c r="QC553"/>
      <c r="QD553"/>
      <c r="QE553"/>
      <c r="QF553"/>
      <c r="QG553"/>
      <c r="QH553"/>
      <c r="QI553"/>
      <c r="QJ553"/>
      <c r="QK553"/>
      <c r="QL553"/>
      <c r="QM553"/>
      <c r="QN553"/>
      <c r="QO553"/>
      <c r="QP553"/>
      <c r="QQ553"/>
      <c r="QR553"/>
      <c r="QS553"/>
      <c r="QT553"/>
      <c r="QU553"/>
      <c r="QV553"/>
      <c r="QW553"/>
      <c r="QX553"/>
      <c r="QY553"/>
      <c r="QZ553"/>
      <c r="RA553"/>
      <c r="RB553"/>
      <c r="RC553"/>
      <c r="RD553"/>
      <c r="RE553"/>
      <c r="RF553"/>
      <c r="RG553"/>
      <c r="RH553"/>
      <c r="RI553"/>
      <c r="RJ553"/>
      <c r="RK553"/>
      <c r="RL553"/>
      <c r="RM553"/>
      <c r="RN553"/>
      <c r="RO553"/>
      <c r="RP553"/>
      <c r="RQ553"/>
      <c r="RR553"/>
      <c r="RS553"/>
      <c r="RT553"/>
      <c r="RU553"/>
      <c r="RV553"/>
      <c r="RW553"/>
      <c r="RX553"/>
      <c r="RY553"/>
      <c r="RZ553"/>
      <c r="SA553"/>
      <c r="SB553"/>
      <c r="SC553"/>
      <c r="SD553"/>
      <c r="SE553"/>
      <c r="SF553"/>
      <c r="SG553"/>
      <c r="SH553"/>
      <c r="SI553"/>
      <c r="SJ553"/>
      <c r="SK553"/>
      <c r="SL553"/>
      <c r="SM553"/>
      <c r="SN553"/>
      <c r="SO553"/>
      <c r="SP553"/>
      <c r="SQ553"/>
      <c r="SR553"/>
      <c r="SS553"/>
      <c r="ST553"/>
      <c r="SU553"/>
      <c r="SV553"/>
      <c r="SW553"/>
      <c r="SX553"/>
      <c r="SY553"/>
      <c r="SZ553"/>
      <c r="TA553"/>
      <c r="TB553"/>
      <c r="TC553"/>
      <c r="TD553"/>
      <c r="TE553"/>
      <c r="TF553"/>
      <c r="TG553"/>
      <c r="TH553"/>
      <c r="TI553"/>
      <c r="TJ553"/>
      <c r="TK553"/>
      <c r="TL553"/>
      <c r="TM553"/>
      <c r="TN553"/>
      <c r="TO553"/>
      <c r="TP553"/>
      <c r="TQ553"/>
      <c r="TR553"/>
      <c r="TS553"/>
      <c r="TT553"/>
      <c r="TU553"/>
      <c r="TV553"/>
      <c r="TW553"/>
      <c r="TX553"/>
      <c r="TY553"/>
      <c r="TZ553"/>
      <c r="UA553"/>
      <c r="UB553"/>
      <c r="UC553"/>
      <c r="UD553"/>
      <c r="UE553"/>
      <c r="UF553"/>
      <c r="UG553"/>
      <c r="UH553"/>
      <c r="UI553"/>
      <c r="UJ553"/>
      <c r="UK553"/>
      <c r="UL553"/>
      <c r="UM553"/>
      <c r="UN553"/>
      <c r="UO553"/>
      <c r="UP553"/>
      <c r="UQ553"/>
      <c r="UR553"/>
      <c r="US553"/>
      <c r="UT553"/>
      <c r="UU553"/>
      <c r="UV553"/>
      <c r="UW553"/>
      <c r="UX553"/>
      <c r="UY553"/>
      <c r="UZ553"/>
      <c r="VA553"/>
      <c r="VB553"/>
      <c r="VC553"/>
      <c r="VD553"/>
      <c r="VE553"/>
      <c r="VF553"/>
      <c r="VG553"/>
      <c r="VH553"/>
      <c r="VI553"/>
      <c r="VJ553"/>
      <c r="VK553"/>
      <c r="VL553"/>
      <c r="VM553"/>
      <c r="VN553"/>
      <c r="VO553"/>
      <c r="VP553"/>
      <c r="VQ553"/>
      <c r="VR553"/>
      <c r="VS553"/>
      <c r="VT553"/>
      <c r="VU553"/>
      <c r="VV553"/>
      <c r="VW553"/>
      <c r="VX553"/>
      <c r="VY553"/>
      <c r="VZ553"/>
      <c r="WA553"/>
      <c r="WB553"/>
      <c r="WC553"/>
      <c r="WD553"/>
      <c r="WE553"/>
      <c r="WF553"/>
      <c r="WG553"/>
      <c r="WH553"/>
      <c r="WI553"/>
      <c r="WJ553"/>
      <c r="WK553"/>
      <c r="WL553"/>
      <c r="WM553"/>
      <c r="WN553"/>
      <c r="WO553"/>
      <c r="WP553"/>
      <c r="WQ553"/>
      <c r="WR553"/>
      <c r="WS553"/>
      <c r="WT553"/>
      <c r="WU553"/>
      <c r="WV553"/>
      <c r="WW553"/>
      <c r="WX553"/>
      <c r="WY553"/>
      <c r="WZ553"/>
      <c r="XA553"/>
      <c r="XB553"/>
      <c r="XC553"/>
      <c r="XD553"/>
      <c r="XE553"/>
      <c r="XF553"/>
      <c r="XG553"/>
      <c r="XH553"/>
      <c r="XI553"/>
      <c r="XJ553"/>
      <c r="XK553"/>
      <c r="XL553"/>
      <c r="XM553"/>
      <c r="XN553"/>
      <c r="XO553"/>
      <c r="XP553"/>
      <c r="XQ553"/>
      <c r="XR553"/>
      <c r="XS553"/>
      <c r="XT553"/>
      <c r="XU553"/>
      <c r="XV553"/>
      <c r="XW553"/>
      <c r="XX553"/>
      <c r="XY553"/>
      <c r="XZ553"/>
      <c r="YA553"/>
      <c r="YB553"/>
      <c r="YC553"/>
      <c r="YD553"/>
      <c r="YE553"/>
      <c r="YF553"/>
      <c r="YG553"/>
      <c r="YH553"/>
      <c r="YI553"/>
      <c r="YJ553"/>
      <c r="YK553"/>
      <c r="YL553"/>
      <c r="YM553"/>
      <c r="YN553"/>
      <c r="YO553"/>
      <c r="YP553"/>
      <c r="YQ553"/>
      <c r="YR553"/>
      <c r="YS553"/>
      <c r="YT553"/>
      <c r="YU553"/>
      <c r="YV553"/>
      <c r="YW553"/>
      <c r="YX553"/>
      <c r="YY553"/>
      <c r="YZ553"/>
      <c r="ZA553"/>
      <c r="ZB553"/>
      <c r="ZC553"/>
      <c r="ZD553"/>
      <c r="ZE553"/>
      <c r="ZF553"/>
      <c r="ZG553"/>
      <c r="ZH553"/>
      <c r="ZI553"/>
      <c r="ZJ553"/>
      <c r="ZK553"/>
      <c r="ZL553"/>
      <c r="ZM553"/>
      <c r="ZN553"/>
      <c r="ZO553"/>
      <c r="ZP553"/>
      <c r="ZQ553"/>
      <c r="ZR553"/>
      <c r="ZS553"/>
      <c r="ZT553"/>
      <c r="ZU553"/>
      <c r="ZV553"/>
      <c r="ZW553"/>
      <c r="ZX553"/>
      <c r="ZY553"/>
      <c r="ZZ553"/>
      <c r="AAA553"/>
      <c r="AAB553"/>
      <c r="AAC553"/>
      <c r="AAD553"/>
      <c r="AAE553"/>
      <c r="AAF553"/>
      <c r="AAG553"/>
      <c r="AAH553"/>
      <c r="AAI553"/>
      <c r="AAJ553"/>
      <c r="AAK553"/>
      <c r="AAL553"/>
      <c r="AAM553"/>
      <c r="AAN553"/>
      <c r="AAO553"/>
      <c r="AAP553"/>
      <c r="AAQ553"/>
      <c r="AAR553"/>
      <c r="AAS553"/>
      <c r="AAT553"/>
      <c r="AAU553"/>
      <c r="AAV553"/>
      <c r="AAW553"/>
      <c r="AAX553"/>
      <c r="AAY553"/>
      <c r="AAZ553"/>
      <c r="ABA553"/>
      <c r="ABB553"/>
      <c r="ABC553"/>
      <c r="ABD553"/>
      <c r="ABE553"/>
      <c r="ABF553"/>
      <c r="ABG553"/>
      <c r="ABH553"/>
      <c r="ABI553"/>
      <c r="ABJ553"/>
      <c r="ABK553"/>
      <c r="ABL553"/>
      <c r="ABM553"/>
      <c r="ABN553"/>
      <c r="ABO553"/>
      <c r="ABP553"/>
      <c r="ABQ553"/>
      <c r="ABR553"/>
      <c r="ABS553"/>
      <c r="ABT553"/>
      <c r="ABU553"/>
      <c r="ABV553"/>
      <c r="ABW553"/>
      <c r="ABX553"/>
      <c r="ABY553"/>
      <c r="ABZ553"/>
      <c r="ACA553"/>
      <c r="ACB553"/>
      <c r="ACC553"/>
      <c r="ACD553"/>
      <c r="ACE553"/>
      <c r="ACF553"/>
      <c r="ACG553"/>
      <c r="ACH553"/>
      <c r="ACI553"/>
      <c r="ACJ553"/>
      <c r="ACK553"/>
      <c r="ACL553"/>
      <c r="ACM553"/>
      <c r="ACN553"/>
      <c r="ACO553"/>
      <c r="ACP553"/>
      <c r="ACQ553"/>
      <c r="ACR553"/>
      <c r="ACS553"/>
      <c r="ACT553"/>
      <c r="ACU553"/>
      <c r="ACV553"/>
      <c r="ACW553"/>
      <c r="ACX553"/>
      <c r="ACY553"/>
      <c r="ACZ553"/>
      <c r="ADA553"/>
      <c r="ADB553"/>
      <c r="ADC553"/>
      <c r="ADD553"/>
      <c r="ADE553"/>
      <c r="ADF553"/>
      <c r="ADG553"/>
      <c r="ADH553"/>
      <c r="ADI553"/>
      <c r="ADJ553"/>
      <c r="ADK553"/>
      <c r="ADL553"/>
      <c r="ADM553"/>
      <c r="ADN553"/>
      <c r="ADO553"/>
      <c r="ADP553"/>
      <c r="ADQ553"/>
      <c r="ADR553"/>
      <c r="ADS553"/>
      <c r="ADT553"/>
      <c r="ADU553"/>
      <c r="ADV553"/>
      <c r="ADW553"/>
      <c r="ADX553"/>
      <c r="ADY553"/>
      <c r="ADZ553"/>
      <c r="AEA553"/>
      <c r="AEB553"/>
      <c r="AEC553"/>
      <c r="AED553"/>
      <c r="AEE553"/>
      <c r="AEF553"/>
      <c r="AEG553"/>
      <c r="AEH553"/>
      <c r="AEI553"/>
      <c r="AEJ553"/>
      <c r="AEK553"/>
      <c r="AEL553"/>
      <c r="AEM553"/>
      <c r="AEN553"/>
      <c r="AEO553"/>
      <c r="AEP553"/>
      <c r="AEQ553"/>
      <c r="AER553"/>
      <c r="AES553"/>
      <c r="AET553"/>
      <c r="AEU553"/>
      <c r="AEV553"/>
      <c r="AEW553"/>
      <c r="AEX553"/>
      <c r="AEY553"/>
      <c r="AEZ553"/>
      <c r="AFA553"/>
      <c r="AFB553"/>
      <c r="AFC553"/>
      <c r="AFD553"/>
      <c r="AFE553"/>
      <c r="AFF553"/>
      <c r="AFG553"/>
      <c r="AFH553"/>
      <c r="AFI553"/>
      <c r="AFJ553"/>
      <c r="AFK553"/>
      <c r="AFL553"/>
      <c r="AFM553"/>
      <c r="AFN553"/>
      <c r="AFO553"/>
      <c r="AFP553"/>
      <c r="AFQ553"/>
      <c r="AFR553"/>
      <c r="AFS553"/>
      <c r="AFT553"/>
      <c r="AFU553"/>
      <c r="AFV553"/>
      <c r="AFW553"/>
      <c r="AFX553"/>
      <c r="AFY553"/>
      <c r="AFZ553"/>
      <c r="AGA553"/>
      <c r="AGB553"/>
      <c r="AGC553"/>
      <c r="AGD553"/>
      <c r="AGE553"/>
      <c r="AGF553"/>
      <c r="AGG553"/>
      <c r="AGH553"/>
      <c r="AGI553"/>
      <c r="AGJ553"/>
      <c r="AGK553"/>
      <c r="AGL553"/>
      <c r="AGM553"/>
      <c r="AGN553"/>
      <c r="AGO553"/>
      <c r="AGP553"/>
      <c r="AGQ553"/>
      <c r="AGR553"/>
      <c r="AGS553"/>
      <c r="AGT553"/>
      <c r="AGU553"/>
      <c r="AGV553"/>
      <c r="AGW553"/>
      <c r="AGX553"/>
      <c r="AGY553"/>
      <c r="AGZ553"/>
      <c r="AHA553"/>
      <c r="AHB553"/>
      <c r="AHC553"/>
      <c r="AHD553"/>
      <c r="AHE553"/>
      <c r="AHF553"/>
      <c r="AHG553"/>
      <c r="AHH553"/>
      <c r="AHI553"/>
      <c r="AHJ553"/>
      <c r="AHK553"/>
      <c r="AHL553"/>
      <c r="AHM553"/>
      <c r="AHN553"/>
      <c r="AHO553"/>
      <c r="AHP553"/>
      <c r="AHQ553"/>
      <c r="AHR553"/>
      <c r="AHS553"/>
      <c r="AHT553"/>
      <c r="AHU553"/>
      <c r="AHV553"/>
      <c r="AHW553"/>
      <c r="AHX553"/>
      <c r="AHY553"/>
      <c r="AHZ553"/>
      <c r="AIA553"/>
      <c r="AIB553"/>
      <c r="AIC553"/>
      <c r="AID553"/>
      <c r="AIE553"/>
      <c r="AIF553"/>
      <c r="AIG553"/>
      <c r="AIH553"/>
      <c r="AII553"/>
      <c r="AIJ553"/>
      <c r="AIK553"/>
      <c r="AIL553"/>
      <c r="AIM553"/>
      <c r="AIN553"/>
      <c r="AIO553"/>
      <c r="AIP553"/>
      <c r="AIQ553"/>
      <c r="AIR553"/>
      <c r="AIS553"/>
      <c r="AIT553"/>
      <c r="AIU553"/>
      <c r="AIV553"/>
      <c r="AIW553"/>
      <c r="AIX553"/>
      <c r="AIY553"/>
      <c r="AIZ553"/>
      <c r="AJA553"/>
      <c r="AJB553"/>
      <c r="AJC553"/>
      <c r="AJD553"/>
      <c r="AJE553"/>
      <c r="AJF553"/>
      <c r="AJG553"/>
      <c r="AJH553"/>
      <c r="AJI553"/>
      <c r="AJJ553"/>
      <c r="AJK553"/>
      <c r="AJL553"/>
      <c r="AJM553"/>
      <c r="AJN553"/>
      <c r="AJO553"/>
      <c r="AJP553"/>
      <c r="AJQ553"/>
      <c r="AJR553"/>
      <c r="AJS553"/>
      <c r="AJT553"/>
      <c r="AJU553"/>
      <c r="AJV553"/>
      <c r="AJW553"/>
      <c r="AJX553"/>
      <c r="AJY553"/>
      <c r="AJZ553"/>
      <c r="AKA553"/>
      <c r="AKB553"/>
      <c r="AKC553"/>
      <c r="AKD553"/>
      <c r="AKE553"/>
      <c r="AKF553"/>
      <c r="AKG553"/>
      <c r="AKH553"/>
      <c r="AKI553"/>
      <c r="AKJ553"/>
      <c r="AKK553"/>
      <c r="AKL553"/>
      <c r="AKM553"/>
      <c r="AKN553"/>
      <c r="AKO553"/>
      <c r="AKP553"/>
      <c r="AKQ553"/>
      <c r="AKR553"/>
      <c r="AKS553"/>
      <c r="AKT553"/>
      <c r="AKU553"/>
      <c r="AKV553"/>
      <c r="AKW553"/>
      <c r="AKX553"/>
      <c r="AKY553"/>
      <c r="AKZ553"/>
      <c r="ALA553"/>
      <c r="ALB553"/>
      <c r="ALC553"/>
      <c r="ALD553"/>
      <c r="ALE553"/>
      <c r="ALF553"/>
      <c r="ALG553"/>
      <c r="ALH553"/>
      <c r="ALI553"/>
      <c r="ALJ553"/>
      <c r="ALK553"/>
      <c r="ALL553"/>
      <c r="ALM553"/>
      <c r="ALN553"/>
      <c r="ALO553"/>
      <c r="ALP553"/>
      <c r="ALQ553"/>
      <c r="ALR553"/>
      <c r="ALS553"/>
      <c r="ALT553"/>
      <c r="ALU553"/>
      <c r="ALV553"/>
      <c r="ALW553"/>
      <c r="ALX553"/>
      <c r="ALY553"/>
      <c r="ALZ553"/>
      <c r="AMA553"/>
      <c r="AMB553"/>
      <c r="AMC553"/>
      <c r="AMD553"/>
      <c r="AME553"/>
      <c r="AMF553"/>
      <c r="AMG553"/>
      <c r="AMH553"/>
      <c r="AMI553"/>
      <c r="AMJ553"/>
      <c r="AMK553"/>
      <c r="AML553"/>
      <c r="AMM553"/>
      <c r="AMN553"/>
      <c r="AMO553"/>
      <c r="AMP553"/>
      <c r="AMQ553"/>
      <c r="AMR553"/>
      <c r="AMS553"/>
      <c r="AMT553"/>
      <c r="AMU553"/>
      <c r="AMV553"/>
      <c r="AMW553"/>
      <c r="AMX553"/>
      <c r="AMY553"/>
      <c r="AMZ553"/>
      <c r="ANA553"/>
      <c r="ANB553"/>
      <c r="ANC553"/>
      <c r="AND553"/>
      <c r="ANE553"/>
      <c r="ANF553"/>
      <c r="ANG553"/>
      <c r="ANH553"/>
      <c r="ANI553"/>
      <c r="ANJ553"/>
      <c r="ANK553"/>
      <c r="ANL553"/>
      <c r="ANM553"/>
      <c r="ANN553"/>
      <c r="ANO553"/>
      <c r="ANP553"/>
      <c r="ANQ553"/>
      <c r="ANR553"/>
      <c r="ANS553"/>
      <c r="ANT553"/>
      <c r="ANU553"/>
      <c r="ANV553"/>
      <c r="ANW553"/>
      <c r="ANX553"/>
      <c r="ANY553"/>
      <c r="ANZ553"/>
      <c r="AOA553"/>
      <c r="AOB553"/>
      <c r="AOC553"/>
      <c r="AOD553"/>
      <c r="AOE553"/>
      <c r="AOF553"/>
      <c r="AOG553"/>
      <c r="AOH553"/>
      <c r="AOI553"/>
      <c r="AOJ553"/>
      <c r="AOK553"/>
      <c r="AOL553"/>
      <c r="AOM553"/>
      <c r="AON553"/>
      <c r="AOO553"/>
      <c r="AOP553"/>
      <c r="AOQ553"/>
      <c r="AOR553"/>
      <c r="AOS553"/>
      <c r="AOT553"/>
      <c r="AOU553"/>
      <c r="AOV553"/>
      <c r="AOW553"/>
      <c r="AOX553"/>
      <c r="AOY553"/>
      <c r="AOZ553"/>
      <c r="APA553"/>
      <c r="APB553"/>
      <c r="APC553"/>
      <c r="APD553"/>
      <c r="APE553"/>
      <c r="APF553"/>
      <c r="APG553"/>
      <c r="APH553"/>
      <c r="API553"/>
      <c r="APJ553"/>
      <c r="APK553"/>
      <c r="APL553"/>
      <c r="APM553"/>
      <c r="APN553"/>
      <c r="APO553"/>
      <c r="APP553"/>
      <c r="APQ553"/>
      <c r="APR553"/>
      <c r="APS553"/>
      <c r="APT553"/>
      <c r="APU553"/>
      <c r="APV553"/>
      <c r="APW553"/>
      <c r="APX553"/>
      <c r="APY553"/>
      <c r="APZ553"/>
      <c r="AQA553"/>
      <c r="AQB553"/>
      <c r="AQC553"/>
      <c r="AQD553"/>
      <c r="AQE553"/>
      <c r="AQF553"/>
      <c r="AQG553"/>
      <c r="AQH553"/>
      <c r="AQI553"/>
      <c r="AQJ553"/>
      <c r="AQK553"/>
      <c r="AQL553"/>
      <c r="AQM553"/>
      <c r="AQN553"/>
      <c r="AQO553"/>
      <c r="AQP553"/>
      <c r="AQQ553"/>
      <c r="AQR553"/>
      <c r="AQS553"/>
      <c r="AQT553"/>
      <c r="AQU553"/>
      <c r="AQV553"/>
      <c r="AQW553"/>
      <c r="AQX553"/>
      <c r="AQY553"/>
      <c r="AQZ553"/>
      <c r="ARA553"/>
      <c r="ARB553"/>
      <c r="ARC553"/>
      <c r="ARD553"/>
      <c r="ARE553"/>
      <c r="ARF553"/>
      <c r="ARG553"/>
      <c r="ARH553"/>
      <c r="ARI553"/>
      <c r="ARJ553"/>
      <c r="ARK553"/>
      <c r="ARL553"/>
      <c r="ARM553"/>
      <c r="ARN553"/>
      <c r="ARO553"/>
      <c r="ARP553"/>
      <c r="ARQ553"/>
      <c r="ARR553"/>
      <c r="ARS553"/>
      <c r="ART553"/>
      <c r="ARU553"/>
      <c r="ARV553"/>
      <c r="ARW553"/>
      <c r="ARX553"/>
      <c r="ARY553"/>
      <c r="ARZ553"/>
      <c r="ASA553"/>
      <c r="ASB553"/>
      <c r="ASC553"/>
      <c r="ASD553"/>
      <c r="ASE553"/>
      <c r="ASF553"/>
      <c r="ASG553"/>
      <c r="ASH553"/>
      <c r="ASI553"/>
      <c r="ASJ553"/>
      <c r="ASK553"/>
      <c r="ASL553"/>
      <c r="ASM553"/>
      <c r="ASN553"/>
      <c r="ASO553"/>
      <c r="ASP553"/>
      <c r="ASQ553"/>
      <c r="ASR553"/>
      <c r="ASS553"/>
      <c r="AST553"/>
      <c r="ASU553"/>
      <c r="ASV553"/>
      <c r="ASW553"/>
      <c r="ASX553"/>
      <c r="ASY553"/>
      <c r="ASZ553"/>
      <c r="ATA553"/>
      <c r="ATB553"/>
      <c r="ATC553"/>
      <c r="ATD553"/>
      <c r="ATE553"/>
      <c r="ATF553"/>
      <c r="ATG553"/>
      <c r="ATH553"/>
      <c r="ATI553"/>
      <c r="ATJ553"/>
      <c r="ATK553"/>
      <c r="ATL553"/>
      <c r="ATM553"/>
      <c r="ATN553"/>
      <c r="ATO553"/>
      <c r="ATP553"/>
      <c r="ATQ553"/>
      <c r="ATR553"/>
      <c r="ATS553"/>
      <c r="ATT553"/>
      <c r="ATU553"/>
      <c r="ATV553"/>
      <c r="ATW553"/>
      <c r="ATX553"/>
      <c r="ATY553"/>
      <c r="ATZ553"/>
      <c r="AUA553"/>
      <c r="AUB553"/>
      <c r="AUC553"/>
      <c r="AUD553"/>
      <c r="AUE553"/>
      <c r="AUF553"/>
      <c r="AUG553"/>
      <c r="AUH553"/>
      <c r="AUI553"/>
      <c r="AUJ553"/>
      <c r="AUK553"/>
      <c r="AUL553"/>
      <c r="AUM553"/>
      <c r="AUN553"/>
      <c r="AUO553"/>
      <c r="AUP553"/>
      <c r="AUQ553"/>
      <c r="AUR553"/>
      <c r="AUS553"/>
      <c r="AUT553"/>
      <c r="AUU553"/>
      <c r="AUV553"/>
      <c r="AUW553"/>
      <c r="AUX553"/>
      <c r="AUY553"/>
      <c r="AUZ553"/>
      <c r="AVA553"/>
      <c r="AVB553"/>
      <c r="AVC553"/>
      <c r="AVD553"/>
      <c r="AVE553"/>
      <c r="AVF553"/>
      <c r="AVG553"/>
      <c r="AVH553"/>
      <c r="AVI553"/>
      <c r="AVJ553"/>
      <c r="AVK553"/>
      <c r="AVL553"/>
      <c r="AVM553"/>
      <c r="AVN553"/>
      <c r="AVO553"/>
      <c r="AVP553"/>
      <c r="AVQ553"/>
      <c r="AVR553"/>
      <c r="AVS553"/>
      <c r="AVT553"/>
      <c r="AVU553"/>
      <c r="AVV553"/>
      <c r="AVW553"/>
      <c r="AVX553"/>
      <c r="AVY553"/>
      <c r="AVZ553"/>
      <c r="AWA553"/>
      <c r="AWB553"/>
      <c r="AWC553"/>
      <c r="AWD553"/>
      <c r="AWE553"/>
      <c r="AWF553"/>
      <c r="AWG553"/>
      <c r="AWH553"/>
      <c r="AWI553"/>
      <c r="AWJ553"/>
      <c r="AWK553"/>
      <c r="AWL553"/>
      <c r="AWM553"/>
      <c r="AWN553"/>
      <c r="AWO553"/>
      <c r="AWP553"/>
      <c r="AWQ553"/>
      <c r="AWR553"/>
      <c r="AWS553"/>
      <c r="AWT553"/>
      <c r="AWU553"/>
      <c r="AWV553"/>
      <c r="AWW553"/>
      <c r="AWX553"/>
      <c r="AWY553"/>
      <c r="AWZ553"/>
      <c r="AXA553"/>
      <c r="AXB553"/>
      <c r="AXC553"/>
      <c r="AXD553"/>
      <c r="AXE553"/>
      <c r="AXF553"/>
      <c r="AXG553"/>
      <c r="AXH553"/>
      <c r="AXI553"/>
      <c r="AXJ553"/>
      <c r="AXK553"/>
      <c r="AXL553"/>
      <c r="AXM553"/>
      <c r="AXN553"/>
      <c r="AXO553"/>
      <c r="AXP553"/>
      <c r="AXQ553"/>
      <c r="AXR553"/>
      <c r="AXS553"/>
      <c r="AXT553"/>
      <c r="AXU553"/>
      <c r="AXV553"/>
      <c r="AXW553"/>
      <c r="AXX553"/>
      <c r="AXY553"/>
      <c r="AXZ553"/>
      <c r="AYA553"/>
      <c r="AYB553"/>
      <c r="AYC553"/>
      <c r="AYD553"/>
      <c r="AYE553"/>
      <c r="AYF553"/>
      <c r="AYG553"/>
      <c r="AYH553"/>
      <c r="AYI553"/>
      <c r="AYJ553"/>
      <c r="AYK553"/>
      <c r="AYL553"/>
      <c r="AYM553"/>
      <c r="AYN553"/>
      <c r="AYO553"/>
      <c r="AYP553"/>
      <c r="AYQ553"/>
      <c r="AYR553"/>
      <c r="AYS553"/>
      <c r="AYT553"/>
      <c r="AYU553"/>
      <c r="AYV553"/>
      <c r="AYW553"/>
      <c r="AYX553"/>
      <c r="AYY553"/>
      <c r="AYZ553"/>
      <c r="AZA553"/>
      <c r="AZB553"/>
      <c r="AZC553"/>
      <c r="AZD553"/>
      <c r="AZE553"/>
      <c r="AZF553"/>
      <c r="AZG553"/>
      <c r="AZH553"/>
      <c r="AZI553"/>
      <c r="AZJ553"/>
      <c r="AZK553"/>
      <c r="AZL553"/>
      <c r="AZM553"/>
      <c r="AZN553"/>
      <c r="AZO553"/>
      <c r="AZP553"/>
      <c r="AZQ553"/>
      <c r="AZR553"/>
      <c r="AZS553"/>
      <c r="AZT553"/>
      <c r="AZU553"/>
      <c r="AZV553"/>
      <c r="AZW553"/>
      <c r="AZX553"/>
      <c r="AZY553"/>
      <c r="AZZ553"/>
      <c r="BAA553"/>
      <c r="BAB553"/>
      <c r="BAC553"/>
      <c r="BAD553"/>
      <c r="BAE553"/>
      <c r="BAF553"/>
      <c r="BAG553"/>
      <c r="BAH553"/>
      <c r="BAI553"/>
      <c r="BAJ553"/>
      <c r="BAK553"/>
      <c r="BAL553"/>
      <c r="BAM553"/>
      <c r="BAN553"/>
      <c r="BAO553"/>
      <c r="BAP553"/>
      <c r="BAQ553"/>
      <c r="BAR553"/>
      <c r="BAS553"/>
      <c r="BAT553"/>
      <c r="BAU553"/>
      <c r="BAV553"/>
      <c r="BAW553"/>
      <c r="BAX553"/>
      <c r="BAY553"/>
      <c r="BAZ553"/>
      <c r="BBA553"/>
      <c r="BBB553"/>
      <c r="BBC553"/>
      <c r="BBD553"/>
      <c r="BBE553"/>
      <c r="BBF553"/>
      <c r="BBG553"/>
      <c r="BBH553"/>
      <c r="BBI553"/>
      <c r="BBJ553"/>
      <c r="BBK553"/>
      <c r="BBL553"/>
      <c r="BBM553"/>
      <c r="BBN553"/>
      <c r="BBO553"/>
      <c r="BBP553"/>
      <c r="BBQ553"/>
      <c r="BBR553"/>
      <c r="BBS553"/>
      <c r="BBT553"/>
      <c r="BBU553"/>
      <c r="BBV553"/>
      <c r="BBW553"/>
      <c r="BBX553"/>
      <c r="BBY553"/>
      <c r="BBZ553"/>
      <c r="BCA553"/>
      <c r="BCB553"/>
      <c r="BCC553"/>
      <c r="BCD553"/>
      <c r="BCE553"/>
      <c r="BCF553"/>
      <c r="BCG553"/>
      <c r="BCH553"/>
      <c r="BCI553"/>
      <c r="BCJ553"/>
      <c r="BCK553"/>
      <c r="BCL553"/>
      <c r="BCM553"/>
      <c r="BCN553"/>
      <c r="BCO553"/>
      <c r="BCP553"/>
      <c r="BCQ553"/>
      <c r="BCR553"/>
      <c r="BCS553"/>
      <c r="BCT553"/>
      <c r="BCU553"/>
      <c r="BCV553"/>
      <c r="BCW553"/>
      <c r="BCX553"/>
      <c r="BCY553"/>
      <c r="BCZ553"/>
      <c r="BDA553"/>
      <c r="BDB553"/>
      <c r="BDC553"/>
      <c r="BDD553"/>
      <c r="BDE553"/>
      <c r="BDF553"/>
      <c r="BDG553"/>
      <c r="BDH553"/>
      <c r="BDI553"/>
      <c r="BDJ553"/>
      <c r="BDK553"/>
      <c r="BDL553"/>
      <c r="BDM553"/>
      <c r="BDN553"/>
      <c r="BDO553"/>
      <c r="BDP553"/>
      <c r="BDQ553"/>
      <c r="BDR553"/>
      <c r="BDS553"/>
      <c r="BDT553"/>
      <c r="BDU553"/>
      <c r="BDV553"/>
      <c r="BDW553"/>
      <c r="BDX553"/>
      <c r="BDY553"/>
      <c r="BDZ553"/>
      <c r="BEA553"/>
      <c r="BEB553"/>
      <c r="BEC553"/>
      <c r="BED553"/>
      <c r="BEE553"/>
      <c r="BEF553"/>
      <c r="BEG553"/>
      <c r="BEH553"/>
      <c r="BEI553"/>
      <c r="BEJ553"/>
      <c r="BEK553"/>
      <c r="BEL553"/>
      <c r="BEM553"/>
      <c r="BEN553"/>
      <c r="BEO553"/>
      <c r="BEP553"/>
      <c r="BEQ553"/>
      <c r="BER553"/>
      <c r="BES553"/>
      <c r="BET553"/>
      <c r="BEU553"/>
      <c r="BEV553"/>
      <c r="BEW553"/>
      <c r="BEX553"/>
      <c r="BEY553"/>
      <c r="BEZ553"/>
      <c r="BFA553"/>
      <c r="BFB553"/>
      <c r="BFC553"/>
      <c r="BFD553"/>
      <c r="BFE553"/>
      <c r="BFF553"/>
      <c r="BFG553"/>
      <c r="BFH553"/>
      <c r="BFI553"/>
      <c r="BFJ553"/>
      <c r="BFK553"/>
      <c r="BFL553"/>
      <c r="BFM553"/>
      <c r="BFN553"/>
      <c r="BFO553"/>
      <c r="BFP553"/>
      <c r="BFQ553"/>
      <c r="BFR553"/>
      <c r="BFS553"/>
      <c r="BFT553"/>
      <c r="BFU553"/>
      <c r="BFV553"/>
      <c r="BFW553"/>
      <c r="BFX553"/>
      <c r="BFY553"/>
      <c r="BFZ553"/>
      <c r="BGA553"/>
      <c r="BGB553"/>
      <c r="BGC553"/>
      <c r="BGD553"/>
      <c r="BGE553"/>
      <c r="BGF553"/>
      <c r="BGG553"/>
      <c r="BGH553"/>
      <c r="BGI553"/>
      <c r="BGJ553"/>
      <c r="BGK553"/>
      <c r="BGL553"/>
      <c r="BGM553"/>
      <c r="BGN553"/>
      <c r="BGO553"/>
      <c r="BGP553"/>
      <c r="BGQ553"/>
      <c r="BGR553"/>
      <c r="BGS553"/>
      <c r="BGT553"/>
      <c r="BGU553"/>
      <c r="BGV553"/>
      <c r="BGW553"/>
      <c r="BGX553"/>
      <c r="BGY553"/>
      <c r="BGZ553"/>
      <c r="BHA553"/>
      <c r="BHB553"/>
      <c r="BHC553"/>
      <c r="BHD553"/>
      <c r="BHE553"/>
      <c r="BHF553"/>
      <c r="BHG553"/>
      <c r="BHH553"/>
      <c r="BHI553"/>
      <c r="BHJ553"/>
      <c r="BHK553"/>
      <c r="BHL553"/>
      <c r="BHM553"/>
      <c r="BHN553"/>
      <c r="BHO553"/>
      <c r="BHP553"/>
      <c r="BHQ553"/>
      <c r="BHR553"/>
      <c r="BHS553"/>
      <c r="BHT553"/>
      <c r="BHU553"/>
      <c r="BHV553"/>
      <c r="BHW553"/>
      <c r="BHX553"/>
      <c r="BHY553"/>
      <c r="BHZ553"/>
      <c r="BIA553"/>
      <c r="BIB553"/>
      <c r="BIC553"/>
      <c r="BID553"/>
      <c r="BIE553"/>
      <c r="BIF553"/>
      <c r="BIG553"/>
      <c r="BIH553"/>
      <c r="BII553"/>
      <c r="BIJ553"/>
      <c r="BIK553"/>
      <c r="BIL553"/>
      <c r="BIM553"/>
      <c r="BIN553"/>
      <c r="BIO553"/>
      <c r="BIP553"/>
      <c r="BIQ553"/>
      <c r="BIR553"/>
      <c r="BIS553"/>
      <c r="BIT553"/>
      <c r="BIU553"/>
      <c r="BIV553"/>
      <c r="BIW553"/>
      <c r="BIX553"/>
      <c r="BIY553"/>
      <c r="BIZ553"/>
      <c r="BJA553"/>
      <c r="BJB553"/>
      <c r="BJC553"/>
      <c r="BJD553"/>
      <c r="BJE553"/>
      <c r="BJF553"/>
      <c r="BJG553"/>
      <c r="BJH553"/>
      <c r="BJI553"/>
      <c r="BJJ553"/>
      <c r="BJK553"/>
      <c r="BJL553"/>
      <c r="BJM553"/>
      <c r="BJN553"/>
      <c r="BJO553"/>
      <c r="BJP553"/>
      <c r="BJQ553"/>
      <c r="BJR553"/>
      <c r="BJS553"/>
      <c r="BJT553"/>
      <c r="BJU553"/>
      <c r="BJV553"/>
      <c r="BJW553"/>
      <c r="BJX553"/>
      <c r="BJY553"/>
      <c r="BJZ553"/>
      <c r="BKA553"/>
      <c r="BKB553"/>
      <c r="BKC553"/>
      <c r="BKD553"/>
      <c r="BKE553"/>
      <c r="BKF553"/>
      <c r="BKG553"/>
      <c r="BKH553"/>
      <c r="BKI553"/>
      <c r="BKJ553"/>
      <c r="BKK553"/>
      <c r="BKL553"/>
      <c r="BKM553"/>
      <c r="BKN553"/>
      <c r="BKO553"/>
      <c r="BKP553"/>
      <c r="BKQ553"/>
      <c r="BKR553"/>
      <c r="BKS553"/>
      <c r="BKT553"/>
      <c r="BKU553"/>
      <c r="BKV553"/>
      <c r="BKW553"/>
      <c r="BKX553"/>
      <c r="BKY553"/>
      <c r="BKZ553"/>
      <c r="BLA553"/>
      <c r="BLB553"/>
      <c r="BLC553"/>
      <c r="BLD553"/>
      <c r="BLE553"/>
      <c r="BLF553"/>
      <c r="BLG553"/>
      <c r="BLH553"/>
      <c r="BLI553"/>
      <c r="BLJ553"/>
      <c r="BLK553"/>
      <c r="BLL553"/>
      <c r="BLM553"/>
      <c r="BLN553"/>
      <c r="BLO553"/>
      <c r="BLP553"/>
      <c r="BLQ553"/>
      <c r="BLR553"/>
      <c r="BLS553"/>
      <c r="BLT553"/>
      <c r="BLU553"/>
      <c r="BLV553"/>
      <c r="BLW553"/>
      <c r="BLX553"/>
      <c r="BLY553"/>
      <c r="BLZ553"/>
      <c r="BMA553"/>
      <c r="BMB553"/>
      <c r="BMC553"/>
      <c r="BMD553"/>
      <c r="BME553"/>
      <c r="BMF553"/>
      <c r="BMG553"/>
      <c r="BMH553"/>
      <c r="BMI553"/>
      <c r="BMJ553"/>
      <c r="BMK553"/>
      <c r="BML553"/>
      <c r="BMM553"/>
      <c r="BMN553"/>
      <c r="BMO553"/>
      <c r="BMP553"/>
      <c r="BMQ553"/>
      <c r="BMR553"/>
      <c r="BMS553"/>
      <c r="BMT553"/>
      <c r="BMU553"/>
      <c r="BMV553"/>
      <c r="BMW553"/>
      <c r="BMX553"/>
      <c r="BMY553"/>
      <c r="BMZ553"/>
      <c r="BNA553"/>
      <c r="BNB553"/>
      <c r="BNC553"/>
      <c r="BND553"/>
      <c r="BNE553"/>
      <c r="BNF553"/>
      <c r="BNG553"/>
      <c r="BNH553"/>
      <c r="BNI553"/>
      <c r="BNJ553"/>
      <c r="BNK553"/>
      <c r="BNL553"/>
      <c r="BNM553"/>
      <c r="BNN553"/>
      <c r="BNO553"/>
      <c r="BNP553"/>
      <c r="BNQ553"/>
      <c r="BNR553"/>
      <c r="BNS553"/>
      <c r="BNT553"/>
      <c r="BNU553"/>
      <c r="BNV553"/>
      <c r="BNW553"/>
      <c r="BNX553"/>
      <c r="BNY553"/>
      <c r="BNZ553"/>
      <c r="BOA553"/>
      <c r="BOB553"/>
      <c r="BOC553"/>
      <c r="BOD553"/>
      <c r="BOE553"/>
      <c r="BOF553"/>
      <c r="BOG553"/>
      <c r="BOH553"/>
      <c r="BOI553"/>
      <c r="BOJ553"/>
      <c r="BOK553"/>
      <c r="BOL553"/>
      <c r="BOM553"/>
      <c r="BON553"/>
      <c r="BOO553"/>
      <c r="BOP553"/>
      <c r="BOQ553"/>
      <c r="BOR553"/>
      <c r="BOS553"/>
      <c r="BOT553"/>
      <c r="BOU553"/>
      <c r="BOV553"/>
      <c r="BOW553"/>
      <c r="BOX553"/>
      <c r="BOY553"/>
      <c r="BOZ553"/>
      <c r="BPA553"/>
      <c r="BPB553"/>
      <c r="BPC553"/>
      <c r="BPD553"/>
      <c r="BPE553"/>
      <c r="BPF553"/>
      <c r="BPG553"/>
      <c r="BPH553"/>
      <c r="BPI553"/>
      <c r="BPJ553"/>
      <c r="BPK553"/>
      <c r="BPL553"/>
      <c r="BPM553"/>
      <c r="BPN553"/>
      <c r="BPO553"/>
      <c r="BPP553"/>
      <c r="BPQ553"/>
      <c r="BPR553"/>
      <c r="BPS553"/>
      <c r="BPT553"/>
      <c r="BPU553"/>
      <c r="BPV553"/>
      <c r="BPW553"/>
      <c r="BPX553"/>
      <c r="BPY553"/>
      <c r="BPZ553"/>
      <c r="BQA553"/>
      <c r="BQB553"/>
      <c r="BQC553"/>
      <c r="BQD553"/>
      <c r="BQE553"/>
      <c r="BQF553"/>
      <c r="BQG553"/>
      <c r="BQH553"/>
      <c r="BQI553"/>
      <c r="BQJ553"/>
      <c r="BQK553"/>
      <c r="BQL553"/>
      <c r="BQM553"/>
      <c r="BQN553"/>
      <c r="BQO553"/>
      <c r="BQP553"/>
      <c r="BQQ553"/>
      <c r="BQR553"/>
      <c r="BQS553"/>
      <c r="BQT553"/>
      <c r="BQU553"/>
      <c r="BQV553"/>
      <c r="BQW553"/>
      <c r="BQX553"/>
      <c r="BQY553"/>
      <c r="BQZ553"/>
      <c r="BRA553"/>
      <c r="BRB553"/>
      <c r="BRC553"/>
      <c r="BRD553"/>
      <c r="BRE553"/>
      <c r="BRF553"/>
      <c r="BRG553"/>
      <c r="BRH553"/>
      <c r="BRI553"/>
      <c r="BRJ553"/>
      <c r="BRK553"/>
      <c r="BRL553"/>
      <c r="BRM553"/>
      <c r="BRN553"/>
      <c r="BRO553"/>
      <c r="BRP553"/>
      <c r="BRQ553"/>
      <c r="BRR553"/>
      <c r="BRS553"/>
      <c r="BRT553"/>
      <c r="BRU553"/>
      <c r="BRV553"/>
      <c r="BRW553"/>
      <c r="BRX553"/>
      <c r="BRY553"/>
      <c r="BRZ553"/>
      <c r="BSA553"/>
      <c r="BSB553"/>
      <c r="BSC553"/>
      <c r="BSD553"/>
      <c r="BSE553"/>
      <c r="BSF553"/>
      <c r="BSG553"/>
      <c r="BSH553"/>
      <c r="BSI553"/>
      <c r="BSJ553"/>
      <c r="BSK553"/>
      <c r="BSL553"/>
      <c r="BSM553"/>
      <c r="BSN553"/>
      <c r="BSO553"/>
      <c r="BSP553"/>
      <c r="BSQ553"/>
      <c r="BSR553"/>
      <c r="BSS553"/>
      <c r="BST553"/>
      <c r="BSU553"/>
      <c r="BSV553"/>
      <c r="BSW553"/>
      <c r="BSX553"/>
      <c r="BSY553"/>
      <c r="BSZ553"/>
      <c r="BTA553"/>
      <c r="BTB553"/>
      <c r="BTC553"/>
      <c r="BTD553"/>
      <c r="BTE553"/>
      <c r="BTF553"/>
      <c r="BTG553"/>
      <c r="BTH553"/>
      <c r="BTI553"/>
      <c r="BTJ553"/>
      <c r="BTK553"/>
      <c r="BTL553"/>
      <c r="BTM553"/>
      <c r="BTN553"/>
      <c r="BTO553"/>
      <c r="BTP553"/>
      <c r="BTQ553"/>
      <c r="BTR553"/>
      <c r="BTS553"/>
      <c r="BTT553"/>
      <c r="BTU553"/>
      <c r="BTV553"/>
      <c r="BTW553"/>
      <c r="BTX553"/>
      <c r="BTY553"/>
      <c r="BTZ553"/>
      <c r="BUA553"/>
      <c r="BUB553"/>
      <c r="BUC553"/>
      <c r="BUD553"/>
      <c r="BUE553"/>
      <c r="BUF553"/>
      <c r="BUG553"/>
      <c r="BUH553"/>
      <c r="BUI553"/>
      <c r="BUJ553"/>
      <c r="BUK553"/>
      <c r="BUL553"/>
      <c r="BUM553"/>
      <c r="BUN553"/>
      <c r="BUO553"/>
      <c r="BUP553"/>
      <c r="BUQ553"/>
      <c r="BUR553"/>
      <c r="BUS553"/>
      <c r="BUT553"/>
      <c r="BUU553"/>
      <c r="BUV553"/>
      <c r="BUW553"/>
      <c r="BUX553"/>
      <c r="BUY553"/>
      <c r="BUZ553"/>
      <c r="BVA553"/>
      <c r="BVB553"/>
      <c r="BVC553"/>
      <c r="BVD553"/>
      <c r="BVE553"/>
      <c r="BVF553"/>
      <c r="BVG553"/>
      <c r="BVH553"/>
      <c r="BVI553"/>
      <c r="BVJ553"/>
      <c r="BVK553"/>
      <c r="BVL553"/>
      <c r="BVM553"/>
      <c r="BVN553"/>
      <c r="BVO553"/>
      <c r="BVP553"/>
      <c r="BVQ553"/>
      <c r="BVR553"/>
      <c r="BVS553"/>
      <c r="BVT553"/>
      <c r="BVU553"/>
      <c r="BVV553"/>
      <c r="BVW553"/>
      <c r="BVX553"/>
      <c r="BVY553"/>
      <c r="BVZ553"/>
      <c r="BWA553"/>
      <c r="BWB553"/>
      <c r="BWC553"/>
      <c r="BWD553"/>
      <c r="BWE553"/>
      <c r="BWF553"/>
      <c r="BWG553"/>
      <c r="BWH553"/>
      <c r="BWI553"/>
      <c r="BWJ553"/>
      <c r="BWK553"/>
      <c r="BWL553"/>
      <c r="BWM553"/>
      <c r="BWN553"/>
      <c r="BWO553"/>
      <c r="BWP553"/>
      <c r="BWQ553"/>
      <c r="BWR553"/>
      <c r="BWS553"/>
      <c r="BWT553"/>
      <c r="BWU553"/>
      <c r="BWV553"/>
      <c r="BWW553"/>
      <c r="BWX553"/>
      <c r="BWY553"/>
      <c r="BWZ553"/>
      <c r="BXA553"/>
      <c r="BXB553"/>
      <c r="BXC553"/>
      <c r="BXD553"/>
      <c r="BXE553"/>
      <c r="BXF553"/>
      <c r="BXG553"/>
      <c r="BXH553"/>
      <c r="BXI553"/>
      <c r="BXJ553"/>
      <c r="BXK553"/>
      <c r="BXL553"/>
      <c r="BXM553"/>
      <c r="BXN553"/>
      <c r="BXO553"/>
      <c r="BXP553"/>
      <c r="BXQ553"/>
      <c r="BXR553"/>
      <c r="BXS553"/>
      <c r="BXT553"/>
      <c r="BXU553"/>
      <c r="BXV553"/>
      <c r="BXW553"/>
      <c r="BXX553"/>
      <c r="BXY553"/>
      <c r="BXZ553"/>
      <c r="BYA553"/>
      <c r="BYB553"/>
      <c r="BYC553"/>
      <c r="BYD553"/>
      <c r="BYE553"/>
      <c r="BYF553"/>
      <c r="BYG553"/>
      <c r="BYH553"/>
      <c r="BYI553"/>
      <c r="BYJ553"/>
      <c r="BYK553"/>
      <c r="BYL553"/>
      <c r="BYM553"/>
      <c r="BYN553"/>
      <c r="BYO553"/>
      <c r="BYP553"/>
      <c r="BYQ553"/>
      <c r="BYR553"/>
      <c r="BYS553"/>
      <c r="BYT553"/>
      <c r="BYU553"/>
      <c r="BYV553"/>
      <c r="BYW553"/>
      <c r="BYX553"/>
      <c r="BYY553"/>
      <c r="BYZ553"/>
      <c r="BZA553"/>
      <c r="BZB553"/>
      <c r="BZC553"/>
      <c r="BZD553"/>
      <c r="BZE553"/>
      <c r="BZF553"/>
      <c r="BZG553"/>
      <c r="BZH553"/>
      <c r="BZI553"/>
      <c r="BZJ553"/>
      <c r="BZK553"/>
      <c r="BZL553"/>
      <c r="BZM553"/>
      <c r="BZN553"/>
      <c r="BZO553"/>
      <c r="BZP553"/>
      <c r="BZQ553"/>
      <c r="BZR553"/>
      <c r="BZS553"/>
      <c r="BZT553"/>
      <c r="BZU553"/>
      <c r="BZV553"/>
      <c r="BZW553"/>
      <c r="BZX553"/>
      <c r="BZY553"/>
      <c r="BZZ553"/>
      <c r="CAA553"/>
      <c r="CAB553"/>
      <c r="CAC553"/>
      <c r="CAD553"/>
      <c r="CAE553"/>
      <c r="CAF553"/>
      <c r="CAG553"/>
      <c r="CAH553"/>
      <c r="CAI553"/>
      <c r="CAJ553"/>
      <c r="CAK553"/>
      <c r="CAL553"/>
      <c r="CAM553"/>
      <c r="CAN553"/>
      <c r="CAO553"/>
      <c r="CAP553"/>
      <c r="CAQ553"/>
      <c r="CAR553"/>
      <c r="CAS553"/>
      <c r="CAT553"/>
      <c r="CAU553"/>
      <c r="CAV553"/>
      <c r="CAW553"/>
      <c r="CAX553"/>
      <c r="CAY553"/>
      <c r="CAZ553"/>
      <c r="CBA553"/>
      <c r="CBB553"/>
      <c r="CBC553"/>
      <c r="CBD553"/>
      <c r="CBE553"/>
      <c r="CBF553"/>
      <c r="CBG553"/>
      <c r="CBH553"/>
      <c r="CBI553"/>
      <c r="CBJ553"/>
      <c r="CBK553"/>
      <c r="CBL553"/>
      <c r="CBM553"/>
      <c r="CBN553"/>
      <c r="CBO553"/>
      <c r="CBP553"/>
      <c r="CBQ553"/>
      <c r="CBR553"/>
      <c r="CBS553"/>
      <c r="CBT553"/>
      <c r="CBU553"/>
      <c r="CBV553"/>
      <c r="CBW553"/>
      <c r="CBX553"/>
      <c r="CBY553"/>
      <c r="CBZ553"/>
      <c r="CCA553"/>
      <c r="CCB553"/>
      <c r="CCC553"/>
      <c r="CCD553"/>
      <c r="CCE553"/>
      <c r="CCF553"/>
      <c r="CCG553"/>
      <c r="CCH553"/>
      <c r="CCI553"/>
      <c r="CCJ553"/>
      <c r="CCK553"/>
      <c r="CCL553"/>
      <c r="CCM553"/>
      <c r="CCN553"/>
      <c r="CCO553"/>
      <c r="CCP553"/>
      <c r="CCQ553"/>
      <c r="CCR553"/>
      <c r="CCS553"/>
      <c r="CCT553"/>
      <c r="CCU553"/>
      <c r="CCV553"/>
      <c r="CCW553"/>
      <c r="CCX553"/>
      <c r="CCY553"/>
      <c r="CCZ553"/>
      <c r="CDA553"/>
      <c r="CDB553"/>
      <c r="CDC553"/>
      <c r="CDD553"/>
      <c r="CDE553"/>
      <c r="CDF553"/>
      <c r="CDG553"/>
      <c r="CDH553"/>
      <c r="CDI553"/>
      <c r="CDJ553"/>
      <c r="CDK553"/>
      <c r="CDL553"/>
      <c r="CDM553"/>
      <c r="CDN553"/>
      <c r="CDO553"/>
      <c r="CDP553"/>
      <c r="CDQ553"/>
      <c r="CDR553"/>
      <c r="CDS553"/>
      <c r="CDT553"/>
      <c r="CDU553"/>
      <c r="CDV553"/>
      <c r="CDW553"/>
      <c r="CDX553"/>
      <c r="CDY553"/>
      <c r="CDZ553"/>
      <c r="CEA553"/>
      <c r="CEB553"/>
      <c r="CEC553"/>
      <c r="CED553"/>
      <c r="CEE553"/>
      <c r="CEF553"/>
      <c r="CEG553"/>
      <c r="CEH553"/>
      <c r="CEI553"/>
      <c r="CEJ553"/>
      <c r="CEK553"/>
      <c r="CEL553"/>
      <c r="CEM553"/>
      <c r="CEN553"/>
      <c r="CEO553"/>
      <c r="CEP553"/>
      <c r="CEQ553"/>
      <c r="CER553"/>
      <c r="CES553"/>
      <c r="CET553"/>
      <c r="CEU553"/>
      <c r="CEV553"/>
      <c r="CEW553"/>
      <c r="CEX553"/>
      <c r="CEY553"/>
      <c r="CEZ553"/>
      <c r="CFA553"/>
      <c r="CFB553"/>
      <c r="CFC553"/>
      <c r="CFD553"/>
      <c r="CFE553"/>
      <c r="CFF553"/>
      <c r="CFG553"/>
      <c r="CFH553"/>
      <c r="CFI553"/>
      <c r="CFJ553"/>
      <c r="CFK553"/>
      <c r="CFL553"/>
      <c r="CFM553"/>
      <c r="CFN553"/>
      <c r="CFO553"/>
      <c r="CFP553"/>
      <c r="CFQ553"/>
      <c r="CFR553"/>
      <c r="CFS553"/>
      <c r="CFT553"/>
      <c r="CFU553"/>
      <c r="CFV553"/>
      <c r="CFW553"/>
      <c r="CFX553"/>
      <c r="CFY553"/>
      <c r="CFZ553"/>
      <c r="CGA553"/>
      <c r="CGB553"/>
      <c r="CGC553"/>
      <c r="CGD553"/>
      <c r="CGE553"/>
      <c r="CGF553"/>
      <c r="CGG553"/>
      <c r="CGH553"/>
      <c r="CGI553"/>
      <c r="CGJ553"/>
      <c r="CGK553"/>
      <c r="CGL553"/>
      <c r="CGM553"/>
      <c r="CGN553"/>
      <c r="CGO553"/>
      <c r="CGP553"/>
      <c r="CGQ553"/>
      <c r="CGR553"/>
      <c r="CGS553"/>
      <c r="CGT553"/>
      <c r="CGU553"/>
      <c r="CGV553"/>
      <c r="CGW553"/>
      <c r="CGX553"/>
      <c r="CGY553"/>
      <c r="CGZ553"/>
      <c r="CHA553"/>
      <c r="CHB553"/>
      <c r="CHC553"/>
      <c r="CHD553"/>
      <c r="CHE553"/>
      <c r="CHF553"/>
      <c r="CHG553"/>
      <c r="CHH553"/>
      <c r="CHI553"/>
      <c r="CHJ553"/>
      <c r="CHK553"/>
      <c r="CHL553"/>
      <c r="CHM553"/>
      <c r="CHN553"/>
      <c r="CHO553"/>
      <c r="CHP553"/>
      <c r="CHQ553"/>
      <c r="CHR553"/>
      <c r="CHS553"/>
      <c r="CHT553"/>
      <c r="CHU553"/>
      <c r="CHV553"/>
      <c r="CHW553"/>
      <c r="CHX553"/>
      <c r="CHY553"/>
      <c r="CHZ553"/>
      <c r="CIA553"/>
      <c r="CIB553"/>
      <c r="CIC553"/>
      <c r="CID553"/>
      <c r="CIE553"/>
      <c r="CIF553"/>
      <c r="CIG553"/>
      <c r="CIH553"/>
      <c r="CII553"/>
      <c r="CIJ553"/>
      <c r="CIK553"/>
      <c r="CIL553"/>
      <c r="CIM553"/>
      <c r="CIN553"/>
      <c r="CIO553"/>
      <c r="CIP553"/>
      <c r="CIQ553"/>
      <c r="CIR553"/>
      <c r="CIS553"/>
      <c r="CIT553"/>
      <c r="CIU553"/>
      <c r="CIV553"/>
      <c r="CIW553"/>
      <c r="CIX553"/>
      <c r="CIY553"/>
      <c r="CIZ553"/>
      <c r="CJA553"/>
      <c r="CJB553"/>
      <c r="CJC553"/>
      <c r="CJD553"/>
      <c r="CJE553"/>
      <c r="CJF553"/>
      <c r="CJG553"/>
      <c r="CJH553"/>
      <c r="CJI553"/>
      <c r="CJJ553"/>
      <c r="CJK553"/>
      <c r="CJL553"/>
      <c r="CJM553"/>
      <c r="CJN553"/>
      <c r="CJO553"/>
      <c r="CJP553"/>
      <c r="CJQ553"/>
      <c r="CJR553"/>
      <c r="CJS553"/>
      <c r="CJT553"/>
      <c r="CJU553"/>
      <c r="CJV553"/>
      <c r="CJW553"/>
      <c r="CJX553"/>
      <c r="CJY553"/>
      <c r="CJZ553"/>
      <c r="CKA553"/>
      <c r="CKB553"/>
      <c r="CKC553"/>
      <c r="CKD553"/>
      <c r="CKE553"/>
      <c r="CKF553"/>
      <c r="CKG553"/>
      <c r="CKH553"/>
      <c r="CKI553"/>
      <c r="CKJ553"/>
      <c r="CKK553"/>
      <c r="CKL553"/>
      <c r="CKM553"/>
      <c r="CKN553"/>
      <c r="CKO553"/>
      <c r="CKP553"/>
      <c r="CKQ553"/>
      <c r="CKR553"/>
      <c r="CKS553"/>
      <c r="CKT553"/>
      <c r="CKU553"/>
      <c r="CKV553"/>
      <c r="CKW553"/>
      <c r="CKX553"/>
      <c r="CKY553"/>
      <c r="CKZ553"/>
      <c r="CLA553"/>
      <c r="CLB553"/>
      <c r="CLC553"/>
      <c r="CLD553"/>
      <c r="CLE553"/>
      <c r="CLF553"/>
      <c r="CLG553"/>
      <c r="CLH553"/>
      <c r="CLI553"/>
      <c r="CLJ553"/>
      <c r="CLK553"/>
      <c r="CLL553"/>
      <c r="CLM553"/>
      <c r="CLN553"/>
      <c r="CLO553"/>
      <c r="CLP553"/>
      <c r="CLQ553"/>
      <c r="CLR553"/>
      <c r="CLS553"/>
      <c r="CLT553"/>
      <c r="CLU553"/>
      <c r="CLV553"/>
      <c r="CLW553"/>
      <c r="CLX553"/>
      <c r="CLY553"/>
      <c r="CLZ553"/>
      <c r="CMA553"/>
      <c r="CMB553"/>
      <c r="CMC553"/>
      <c r="CMD553"/>
      <c r="CME553"/>
      <c r="CMF553"/>
      <c r="CMG553"/>
      <c r="CMH553"/>
      <c r="CMI553"/>
      <c r="CMJ553"/>
      <c r="CMK553"/>
      <c r="CML553"/>
      <c r="CMM553"/>
      <c r="CMN553"/>
      <c r="CMO553"/>
      <c r="CMP553"/>
      <c r="CMQ553"/>
      <c r="CMR553"/>
      <c r="CMS553"/>
      <c r="CMT553"/>
      <c r="CMU553"/>
      <c r="CMV553"/>
      <c r="CMW553"/>
      <c r="CMX553"/>
      <c r="CMY553"/>
      <c r="CMZ553"/>
      <c r="CNA553"/>
      <c r="CNB553"/>
      <c r="CNC553"/>
      <c r="CND553"/>
      <c r="CNE553"/>
      <c r="CNF553"/>
      <c r="CNG553"/>
      <c r="CNH553"/>
      <c r="CNI553"/>
      <c r="CNJ553"/>
      <c r="CNK553"/>
      <c r="CNL553"/>
      <c r="CNM553"/>
      <c r="CNN553"/>
      <c r="CNO553"/>
      <c r="CNP553"/>
      <c r="CNQ553"/>
      <c r="CNR553"/>
      <c r="CNS553"/>
      <c r="CNT553"/>
      <c r="CNU553"/>
      <c r="CNV553"/>
      <c r="CNW553"/>
      <c r="CNX553"/>
      <c r="CNY553"/>
      <c r="CNZ553"/>
      <c r="COA553"/>
      <c r="COB553"/>
      <c r="COC553"/>
      <c r="COD553"/>
      <c r="COE553"/>
      <c r="COF553"/>
      <c r="COG553"/>
      <c r="COH553"/>
      <c r="COI553"/>
      <c r="COJ553"/>
      <c r="COK553"/>
      <c r="COL553"/>
      <c r="COM553"/>
      <c r="CON553"/>
      <c r="COO553"/>
      <c r="COP553"/>
      <c r="COQ553"/>
      <c r="COR553"/>
      <c r="COS553"/>
      <c r="COT553"/>
      <c r="COU553"/>
      <c r="COV553"/>
      <c r="COW553"/>
      <c r="COX553"/>
      <c r="COY553"/>
      <c r="COZ553"/>
      <c r="CPA553"/>
      <c r="CPB553"/>
      <c r="CPC553"/>
      <c r="CPD553"/>
      <c r="CPE553"/>
      <c r="CPF553"/>
      <c r="CPG553"/>
      <c r="CPH553"/>
      <c r="CPI553"/>
      <c r="CPJ553"/>
      <c r="CPK553"/>
      <c r="CPL553"/>
      <c r="CPM553"/>
      <c r="CPN553"/>
      <c r="CPO553"/>
      <c r="CPP553"/>
      <c r="CPQ553"/>
      <c r="CPR553"/>
      <c r="CPS553"/>
      <c r="CPT553"/>
      <c r="CPU553"/>
      <c r="CPV553"/>
      <c r="CPW553"/>
      <c r="CPX553"/>
      <c r="CPY553"/>
      <c r="CPZ553"/>
      <c r="CQA553"/>
      <c r="CQB553"/>
      <c r="CQC553"/>
      <c r="CQD553"/>
      <c r="CQE553"/>
      <c r="CQF553"/>
      <c r="CQG553"/>
      <c r="CQH553"/>
      <c r="CQI553"/>
      <c r="CQJ553"/>
      <c r="CQK553"/>
      <c r="CQL553"/>
      <c r="CQM553"/>
      <c r="CQN553"/>
      <c r="CQO553"/>
      <c r="CQP553"/>
      <c r="CQQ553"/>
      <c r="CQR553"/>
      <c r="CQS553"/>
      <c r="CQT553"/>
      <c r="CQU553"/>
      <c r="CQV553"/>
      <c r="CQW553"/>
      <c r="CQX553"/>
      <c r="CQY553"/>
      <c r="CQZ553"/>
      <c r="CRA553"/>
      <c r="CRB553"/>
      <c r="CRC553"/>
      <c r="CRD553"/>
      <c r="CRE553"/>
      <c r="CRF553"/>
      <c r="CRG553"/>
      <c r="CRH553"/>
      <c r="CRI553"/>
      <c r="CRJ553"/>
      <c r="CRK553"/>
      <c r="CRL553"/>
      <c r="CRM553"/>
      <c r="CRN553"/>
      <c r="CRO553"/>
      <c r="CRP553"/>
      <c r="CRQ553"/>
      <c r="CRR553"/>
      <c r="CRS553"/>
      <c r="CRT553"/>
      <c r="CRU553"/>
      <c r="CRV553"/>
      <c r="CRW553"/>
      <c r="CRX553"/>
      <c r="CRY553"/>
      <c r="CRZ553"/>
      <c r="CSA553"/>
      <c r="CSB553"/>
      <c r="CSC553"/>
      <c r="CSD553"/>
      <c r="CSE553"/>
      <c r="CSF553"/>
      <c r="CSG553"/>
      <c r="CSH553"/>
      <c r="CSI553"/>
      <c r="CSJ553"/>
      <c r="CSK553"/>
      <c r="CSL553"/>
      <c r="CSM553"/>
      <c r="CSN553"/>
      <c r="CSO553"/>
      <c r="CSP553"/>
      <c r="CSQ553"/>
      <c r="CSR553"/>
      <c r="CSS553"/>
      <c r="CST553"/>
      <c r="CSU553"/>
      <c r="CSV553"/>
      <c r="CSW553"/>
      <c r="CSX553"/>
      <c r="CSY553"/>
      <c r="CSZ553"/>
      <c r="CTA553"/>
      <c r="CTB553"/>
      <c r="CTC553"/>
      <c r="CTD553"/>
      <c r="CTE553"/>
      <c r="CTF553"/>
      <c r="CTG553"/>
      <c r="CTH553"/>
      <c r="CTI553"/>
      <c r="CTJ553"/>
      <c r="CTK553"/>
      <c r="CTL553"/>
      <c r="CTM553"/>
      <c r="CTN553"/>
      <c r="CTO553"/>
      <c r="CTP553"/>
      <c r="CTQ553"/>
      <c r="CTR553"/>
      <c r="CTS553"/>
      <c r="CTT553"/>
      <c r="CTU553"/>
      <c r="CTV553"/>
      <c r="CTW553"/>
      <c r="CTX553"/>
      <c r="CTY553"/>
      <c r="CTZ553"/>
      <c r="CUA553"/>
      <c r="CUB553"/>
      <c r="CUC553"/>
      <c r="CUD553"/>
      <c r="CUE553"/>
      <c r="CUF553"/>
      <c r="CUG553"/>
      <c r="CUH553"/>
      <c r="CUI553"/>
      <c r="CUJ553"/>
      <c r="CUK553"/>
      <c r="CUL553"/>
      <c r="CUM553"/>
      <c r="CUN553"/>
      <c r="CUO553"/>
      <c r="CUP553"/>
      <c r="CUQ553"/>
      <c r="CUR553"/>
      <c r="CUS553"/>
      <c r="CUT553"/>
      <c r="CUU553"/>
      <c r="CUV553"/>
      <c r="CUW553"/>
      <c r="CUX553"/>
      <c r="CUY553"/>
      <c r="CUZ553"/>
      <c r="CVA553"/>
      <c r="CVB553"/>
      <c r="CVC553"/>
      <c r="CVD553"/>
      <c r="CVE553"/>
      <c r="CVF553"/>
      <c r="CVG553"/>
      <c r="CVH553"/>
      <c r="CVI553"/>
      <c r="CVJ553"/>
      <c r="CVK553"/>
      <c r="CVL553"/>
      <c r="CVM553"/>
      <c r="CVN553"/>
      <c r="CVO553"/>
      <c r="CVP553"/>
      <c r="CVQ553"/>
      <c r="CVR553"/>
      <c r="CVS553"/>
      <c r="CVT553"/>
      <c r="CVU553"/>
      <c r="CVV553"/>
      <c r="CVW553"/>
      <c r="CVX553"/>
      <c r="CVY553"/>
      <c r="CVZ553"/>
      <c r="CWA553"/>
      <c r="CWB553"/>
      <c r="CWC553"/>
      <c r="CWD553"/>
      <c r="CWE553"/>
      <c r="CWF553"/>
      <c r="CWG553"/>
      <c r="CWH553"/>
      <c r="CWI553"/>
      <c r="CWJ553"/>
      <c r="CWK553"/>
      <c r="CWL553"/>
      <c r="CWM553"/>
      <c r="CWN553"/>
      <c r="CWO553"/>
      <c r="CWP553"/>
      <c r="CWQ553"/>
      <c r="CWR553"/>
      <c r="CWS553"/>
      <c r="CWT553"/>
      <c r="CWU553"/>
      <c r="CWV553"/>
      <c r="CWW553"/>
      <c r="CWX553"/>
      <c r="CWY553"/>
      <c r="CWZ553"/>
      <c r="CXA553"/>
      <c r="CXB553"/>
      <c r="CXC553"/>
      <c r="CXD553"/>
      <c r="CXE553"/>
      <c r="CXF553"/>
      <c r="CXG553"/>
      <c r="CXH553"/>
      <c r="CXI553"/>
      <c r="CXJ553"/>
      <c r="CXK553"/>
      <c r="CXL553"/>
      <c r="CXM553"/>
      <c r="CXN553"/>
      <c r="CXO553"/>
      <c r="CXP553"/>
      <c r="CXQ553"/>
      <c r="CXR553"/>
      <c r="CXS553"/>
      <c r="CXT553"/>
      <c r="CXU553"/>
      <c r="CXV553"/>
      <c r="CXW553"/>
      <c r="CXX553"/>
      <c r="CXY553"/>
      <c r="CXZ553"/>
      <c r="CYA553"/>
      <c r="CYB553"/>
      <c r="CYC553"/>
      <c r="CYD553"/>
      <c r="CYE553"/>
      <c r="CYF553"/>
      <c r="CYG553"/>
      <c r="CYH553"/>
      <c r="CYI553"/>
      <c r="CYJ553"/>
      <c r="CYK553"/>
      <c r="CYL553"/>
      <c r="CYM553"/>
      <c r="CYN553"/>
      <c r="CYO553"/>
      <c r="CYP553"/>
      <c r="CYQ553"/>
      <c r="CYR553"/>
      <c r="CYS553"/>
      <c r="CYT553"/>
      <c r="CYU553"/>
      <c r="CYV553"/>
      <c r="CYW553"/>
      <c r="CYX553"/>
      <c r="CYY553"/>
      <c r="CYZ553"/>
      <c r="CZA553"/>
      <c r="CZB553"/>
      <c r="CZC553"/>
      <c r="CZD553"/>
      <c r="CZE553"/>
      <c r="CZF553"/>
      <c r="CZG553"/>
      <c r="CZH553"/>
      <c r="CZI553"/>
      <c r="CZJ553"/>
      <c r="CZK553"/>
      <c r="CZL553"/>
      <c r="CZM553"/>
      <c r="CZN553"/>
      <c r="CZO553"/>
      <c r="CZP553"/>
      <c r="CZQ553"/>
      <c r="CZR553"/>
      <c r="CZS553"/>
      <c r="CZT553"/>
      <c r="CZU553"/>
      <c r="CZV553"/>
      <c r="CZW553"/>
      <c r="CZX553"/>
      <c r="CZY553"/>
      <c r="CZZ553"/>
      <c r="DAA553"/>
      <c r="DAB553"/>
      <c r="DAC553"/>
      <c r="DAD553"/>
      <c r="DAE553"/>
      <c r="DAF553"/>
      <c r="DAG553"/>
      <c r="DAH553"/>
      <c r="DAI553"/>
      <c r="DAJ553"/>
      <c r="DAK553"/>
      <c r="DAL553"/>
      <c r="DAM553"/>
      <c r="DAN553"/>
      <c r="DAO553"/>
      <c r="DAP553"/>
      <c r="DAQ553"/>
      <c r="DAR553"/>
      <c r="DAS553"/>
      <c r="DAT553"/>
      <c r="DAU553"/>
      <c r="DAV553"/>
      <c r="DAW553"/>
      <c r="DAX553"/>
      <c r="DAY553"/>
      <c r="DAZ553"/>
      <c r="DBA553"/>
      <c r="DBB553"/>
      <c r="DBC553"/>
      <c r="DBD553"/>
      <c r="DBE553"/>
      <c r="DBF553"/>
      <c r="DBG553"/>
      <c r="DBH553"/>
      <c r="DBI553"/>
      <c r="DBJ553"/>
      <c r="DBK553"/>
      <c r="DBL553"/>
      <c r="DBM553"/>
      <c r="DBN553"/>
      <c r="DBO553"/>
      <c r="DBP553"/>
      <c r="DBQ553"/>
      <c r="DBR553"/>
      <c r="DBS553"/>
      <c r="DBT553"/>
      <c r="DBU553"/>
      <c r="DBV553"/>
      <c r="DBW553"/>
      <c r="DBX553"/>
      <c r="DBY553"/>
      <c r="DBZ553"/>
      <c r="DCA553"/>
      <c r="DCB553"/>
      <c r="DCC553"/>
      <c r="DCD553"/>
      <c r="DCE553"/>
      <c r="DCF553"/>
      <c r="DCG553"/>
      <c r="DCH553"/>
      <c r="DCI553"/>
      <c r="DCJ553"/>
      <c r="DCK553"/>
      <c r="DCL553"/>
      <c r="DCM553"/>
      <c r="DCN553"/>
      <c r="DCO553"/>
      <c r="DCP553"/>
      <c r="DCQ553"/>
      <c r="DCR553"/>
      <c r="DCS553"/>
      <c r="DCT553"/>
      <c r="DCU553"/>
      <c r="DCV553"/>
      <c r="DCW553"/>
      <c r="DCX553"/>
      <c r="DCY553"/>
      <c r="DCZ553"/>
      <c r="DDA553"/>
      <c r="DDB553"/>
      <c r="DDC553"/>
      <c r="DDD553"/>
      <c r="DDE553"/>
      <c r="DDF553"/>
      <c r="DDG553"/>
      <c r="DDH553"/>
      <c r="DDI553"/>
      <c r="DDJ553"/>
      <c r="DDK553"/>
      <c r="DDL553"/>
      <c r="DDM553"/>
      <c r="DDN553"/>
      <c r="DDO553"/>
      <c r="DDP553"/>
      <c r="DDQ553"/>
      <c r="DDR553"/>
      <c r="DDS553"/>
      <c r="DDT553"/>
      <c r="DDU553"/>
      <c r="DDV553"/>
      <c r="DDW553"/>
      <c r="DDX553"/>
      <c r="DDY553"/>
      <c r="DDZ553"/>
      <c r="DEA553"/>
      <c r="DEB553"/>
      <c r="DEC553"/>
      <c r="DED553"/>
      <c r="DEE553"/>
      <c r="DEF553"/>
      <c r="DEG553"/>
      <c r="DEH553"/>
      <c r="DEI553"/>
      <c r="DEJ553"/>
      <c r="DEK553"/>
      <c r="DEL553"/>
      <c r="DEM553"/>
      <c r="DEN553"/>
      <c r="DEO553"/>
      <c r="DEP553"/>
      <c r="DEQ553"/>
      <c r="DER553"/>
      <c r="DES553"/>
      <c r="DET553"/>
      <c r="DEU553"/>
      <c r="DEV553"/>
      <c r="DEW553"/>
      <c r="DEX553"/>
      <c r="DEY553"/>
      <c r="DEZ553"/>
      <c r="DFA553"/>
      <c r="DFB553"/>
      <c r="DFC553"/>
      <c r="DFD553"/>
      <c r="DFE553"/>
      <c r="DFF553"/>
      <c r="DFG553"/>
      <c r="DFH553"/>
      <c r="DFI553"/>
      <c r="DFJ553"/>
      <c r="DFK553"/>
      <c r="DFL553"/>
      <c r="DFM553"/>
      <c r="DFN553"/>
      <c r="DFO553"/>
      <c r="DFP553"/>
      <c r="DFQ553"/>
      <c r="DFR553"/>
      <c r="DFS553"/>
      <c r="DFT553"/>
      <c r="DFU553"/>
      <c r="DFV553"/>
      <c r="DFW553"/>
      <c r="DFX553"/>
      <c r="DFY553"/>
      <c r="DFZ553"/>
      <c r="DGA553"/>
      <c r="DGB553"/>
      <c r="DGC553"/>
      <c r="DGD553"/>
      <c r="DGE553"/>
      <c r="DGF553"/>
      <c r="DGG553"/>
      <c r="DGH553"/>
      <c r="DGI553"/>
      <c r="DGJ553"/>
      <c r="DGK553"/>
      <c r="DGL553"/>
      <c r="DGM553"/>
      <c r="DGN553"/>
      <c r="DGO553"/>
      <c r="DGP553"/>
      <c r="DGQ553"/>
      <c r="DGR553"/>
      <c r="DGS553"/>
      <c r="DGT553"/>
      <c r="DGU553"/>
      <c r="DGV553"/>
      <c r="DGW553"/>
      <c r="DGX553"/>
      <c r="DGY553"/>
      <c r="DGZ553"/>
      <c r="DHA553"/>
      <c r="DHB553"/>
      <c r="DHC553"/>
      <c r="DHD553"/>
      <c r="DHE553"/>
      <c r="DHF553"/>
      <c r="DHG553"/>
      <c r="DHH553"/>
      <c r="DHI553"/>
      <c r="DHJ553"/>
      <c r="DHK553"/>
      <c r="DHL553"/>
      <c r="DHM553"/>
      <c r="DHN553"/>
      <c r="DHO553"/>
      <c r="DHP553"/>
      <c r="DHQ553"/>
      <c r="DHR553"/>
      <c r="DHS553"/>
      <c r="DHT553"/>
      <c r="DHU553"/>
      <c r="DHV553"/>
      <c r="DHW553"/>
      <c r="DHX553"/>
      <c r="DHY553"/>
      <c r="DHZ553"/>
      <c r="DIA553"/>
      <c r="DIB553"/>
      <c r="DIC553"/>
      <c r="DID553"/>
      <c r="DIE553"/>
      <c r="DIF553"/>
      <c r="DIG553"/>
      <c r="DIH553"/>
      <c r="DII553"/>
      <c r="DIJ553"/>
      <c r="DIK553"/>
      <c r="DIL553"/>
      <c r="DIM553"/>
      <c r="DIN553"/>
      <c r="DIO553"/>
      <c r="DIP553"/>
      <c r="DIQ553"/>
      <c r="DIR553"/>
      <c r="DIS553"/>
      <c r="DIT553"/>
      <c r="DIU553"/>
      <c r="DIV553"/>
      <c r="DIW553"/>
      <c r="DIX553"/>
      <c r="DIY553"/>
      <c r="DIZ553"/>
      <c r="DJA553"/>
      <c r="DJB553"/>
      <c r="DJC553"/>
      <c r="DJD553"/>
      <c r="DJE553"/>
      <c r="DJF553"/>
      <c r="DJG553"/>
      <c r="DJH553"/>
      <c r="DJI553"/>
      <c r="DJJ553"/>
      <c r="DJK553"/>
      <c r="DJL553"/>
      <c r="DJM553"/>
      <c r="DJN553"/>
      <c r="DJO553"/>
      <c r="DJP553"/>
      <c r="DJQ553"/>
      <c r="DJR553"/>
      <c r="DJS553"/>
      <c r="DJT553"/>
      <c r="DJU553"/>
      <c r="DJV553"/>
      <c r="DJW553"/>
      <c r="DJX553"/>
      <c r="DJY553"/>
      <c r="DJZ553"/>
      <c r="DKA553"/>
      <c r="DKB553"/>
      <c r="DKC553"/>
      <c r="DKD553"/>
      <c r="DKE553"/>
      <c r="DKF553"/>
      <c r="DKG553"/>
      <c r="DKH553"/>
      <c r="DKI553"/>
      <c r="DKJ553"/>
      <c r="DKK553"/>
      <c r="DKL553"/>
      <c r="DKM553"/>
      <c r="DKN553"/>
      <c r="DKO553"/>
      <c r="DKP553"/>
      <c r="DKQ553"/>
      <c r="DKR553"/>
      <c r="DKS553"/>
      <c r="DKT553"/>
      <c r="DKU553"/>
      <c r="DKV553"/>
      <c r="DKW553"/>
      <c r="DKX553"/>
      <c r="DKY553"/>
      <c r="DKZ553"/>
      <c r="DLA553"/>
      <c r="DLB553"/>
      <c r="DLC553"/>
      <c r="DLD553"/>
      <c r="DLE553"/>
      <c r="DLF553"/>
      <c r="DLG553"/>
      <c r="DLH553"/>
      <c r="DLI553"/>
      <c r="DLJ553"/>
      <c r="DLK553"/>
      <c r="DLL553"/>
      <c r="DLM553"/>
      <c r="DLN553"/>
      <c r="DLO553"/>
      <c r="DLP553"/>
      <c r="DLQ553"/>
      <c r="DLR553"/>
      <c r="DLS553"/>
      <c r="DLT553"/>
      <c r="DLU553"/>
      <c r="DLV553"/>
      <c r="DLW553"/>
      <c r="DLX553"/>
      <c r="DLY553"/>
      <c r="DLZ553"/>
      <c r="DMA553"/>
      <c r="DMB553"/>
      <c r="DMC553"/>
      <c r="DMD553"/>
      <c r="DME553"/>
      <c r="DMF553"/>
      <c r="DMG553"/>
      <c r="DMH553"/>
      <c r="DMI553"/>
      <c r="DMJ553"/>
      <c r="DMK553"/>
      <c r="DML553"/>
      <c r="DMM553"/>
      <c r="DMN553"/>
      <c r="DMO553"/>
      <c r="DMP553"/>
      <c r="DMQ553"/>
      <c r="DMR553"/>
      <c r="DMS553"/>
      <c r="DMT553"/>
      <c r="DMU553"/>
      <c r="DMV553"/>
      <c r="DMW553"/>
      <c r="DMX553"/>
      <c r="DMY553"/>
      <c r="DMZ553"/>
      <c r="DNA553"/>
      <c r="DNB553"/>
      <c r="DNC553"/>
      <c r="DND553"/>
      <c r="DNE553"/>
      <c r="DNF553"/>
      <c r="DNG553"/>
      <c r="DNH553"/>
      <c r="DNI553"/>
      <c r="DNJ553"/>
      <c r="DNK553"/>
      <c r="DNL553"/>
      <c r="DNM553"/>
      <c r="DNN553"/>
      <c r="DNO553"/>
      <c r="DNP553"/>
      <c r="DNQ553"/>
      <c r="DNR553"/>
      <c r="DNS553"/>
      <c r="DNT553"/>
      <c r="DNU553"/>
      <c r="DNV553"/>
      <c r="DNW553"/>
      <c r="DNX553"/>
      <c r="DNY553"/>
      <c r="DNZ553"/>
      <c r="DOA553"/>
      <c r="DOB553"/>
      <c r="DOC553"/>
      <c r="DOD553"/>
      <c r="DOE553"/>
      <c r="DOF553"/>
      <c r="DOG553"/>
      <c r="DOH553"/>
      <c r="DOI553"/>
      <c r="DOJ553"/>
      <c r="DOK553"/>
      <c r="DOL553"/>
      <c r="DOM553"/>
      <c r="DON553"/>
      <c r="DOO553"/>
      <c r="DOP553"/>
      <c r="DOQ553"/>
      <c r="DOR553"/>
      <c r="DOS553"/>
      <c r="DOT553"/>
      <c r="DOU553"/>
      <c r="DOV553"/>
      <c r="DOW553"/>
      <c r="DOX553"/>
      <c r="DOY553"/>
      <c r="DOZ553"/>
      <c r="DPA553"/>
      <c r="DPB553"/>
      <c r="DPC553"/>
      <c r="DPD553"/>
      <c r="DPE553"/>
      <c r="DPF553"/>
      <c r="DPG553"/>
      <c r="DPH553"/>
      <c r="DPI553"/>
      <c r="DPJ553"/>
      <c r="DPK553"/>
      <c r="DPL553"/>
      <c r="DPM553"/>
      <c r="DPN553"/>
      <c r="DPO553"/>
      <c r="DPP553"/>
      <c r="DPQ553"/>
      <c r="DPR553"/>
      <c r="DPS553"/>
      <c r="DPT553"/>
      <c r="DPU553"/>
      <c r="DPV553"/>
      <c r="DPW553"/>
      <c r="DPX553"/>
      <c r="DPY553"/>
      <c r="DPZ553"/>
      <c r="DQA553"/>
      <c r="DQB553"/>
      <c r="DQC553"/>
      <c r="DQD553"/>
      <c r="DQE553"/>
      <c r="DQF553"/>
      <c r="DQG553"/>
      <c r="DQH553"/>
      <c r="DQI553"/>
      <c r="DQJ553"/>
      <c r="DQK553"/>
      <c r="DQL553"/>
      <c r="DQM553"/>
      <c r="DQN553"/>
      <c r="DQO553"/>
      <c r="DQP553"/>
      <c r="DQQ553"/>
      <c r="DQR553"/>
      <c r="DQS553"/>
      <c r="DQT553"/>
      <c r="DQU553"/>
      <c r="DQV553"/>
      <c r="DQW553"/>
      <c r="DQX553"/>
      <c r="DQY553"/>
      <c r="DQZ553"/>
      <c r="DRA553"/>
      <c r="DRB553"/>
      <c r="DRC553"/>
      <c r="DRD553"/>
      <c r="DRE553"/>
      <c r="DRF553"/>
      <c r="DRG553"/>
      <c r="DRH553"/>
      <c r="DRI553"/>
      <c r="DRJ553"/>
      <c r="DRK553"/>
      <c r="DRL553"/>
      <c r="DRM553"/>
      <c r="DRN553"/>
      <c r="DRO553"/>
      <c r="DRP553"/>
      <c r="DRQ553"/>
      <c r="DRR553"/>
      <c r="DRS553"/>
      <c r="DRT553"/>
      <c r="DRU553"/>
      <c r="DRV553"/>
      <c r="DRW553"/>
      <c r="DRX553"/>
      <c r="DRY553"/>
      <c r="DRZ553"/>
      <c r="DSA553"/>
      <c r="DSB553"/>
      <c r="DSC553"/>
      <c r="DSD553"/>
      <c r="DSE553"/>
      <c r="DSF553"/>
      <c r="DSG553"/>
      <c r="DSH553"/>
      <c r="DSI553"/>
      <c r="DSJ553"/>
      <c r="DSK553"/>
      <c r="DSL553"/>
      <c r="DSM553"/>
      <c r="DSN553"/>
      <c r="DSO553"/>
      <c r="DSP553"/>
      <c r="DSQ553"/>
      <c r="DSR553"/>
      <c r="DSS553"/>
      <c r="DST553"/>
      <c r="DSU553"/>
      <c r="DSV553"/>
      <c r="DSW553"/>
      <c r="DSX553"/>
      <c r="DSY553"/>
      <c r="DSZ553"/>
      <c r="DTA553"/>
      <c r="DTB553"/>
      <c r="DTC553"/>
      <c r="DTD553"/>
      <c r="DTE553"/>
      <c r="DTF553"/>
      <c r="DTG553"/>
      <c r="DTH553"/>
      <c r="DTI553"/>
      <c r="DTJ553"/>
      <c r="DTK553"/>
      <c r="DTL553"/>
      <c r="DTM553"/>
      <c r="DTN553"/>
      <c r="DTO553"/>
      <c r="DTP553"/>
      <c r="DTQ553"/>
      <c r="DTR553"/>
      <c r="DTS553"/>
      <c r="DTT553"/>
      <c r="DTU553"/>
      <c r="DTV553"/>
      <c r="DTW553"/>
      <c r="DTX553"/>
      <c r="DTY553"/>
      <c r="DTZ553"/>
      <c r="DUA553"/>
      <c r="DUB553"/>
      <c r="DUC553"/>
      <c r="DUD553"/>
      <c r="DUE553"/>
      <c r="DUF553"/>
      <c r="DUG553"/>
      <c r="DUH553"/>
      <c r="DUI553"/>
      <c r="DUJ553"/>
      <c r="DUK553"/>
      <c r="DUL553"/>
      <c r="DUM553"/>
      <c r="DUN553"/>
      <c r="DUO553"/>
      <c r="DUP553"/>
      <c r="DUQ553"/>
      <c r="DUR553"/>
      <c r="DUS553"/>
      <c r="DUT553"/>
      <c r="DUU553"/>
      <c r="DUV553"/>
      <c r="DUW553"/>
      <c r="DUX553"/>
      <c r="DUY553"/>
      <c r="DUZ553"/>
      <c r="DVA553"/>
      <c r="DVB553"/>
      <c r="DVC553"/>
      <c r="DVD553"/>
      <c r="DVE553"/>
      <c r="DVF553"/>
      <c r="DVG553"/>
      <c r="DVH553"/>
      <c r="DVI553"/>
      <c r="DVJ553"/>
      <c r="DVK553"/>
      <c r="DVL553"/>
      <c r="DVM553"/>
      <c r="DVN553"/>
      <c r="DVO553"/>
      <c r="DVP553"/>
      <c r="DVQ553"/>
      <c r="DVR553"/>
      <c r="DVS553"/>
      <c r="DVT553"/>
      <c r="DVU553"/>
      <c r="DVV553"/>
      <c r="DVW553"/>
      <c r="DVX553"/>
      <c r="DVY553"/>
      <c r="DVZ553"/>
      <c r="DWA553"/>
      <c r="DWB553"/>
      <c r="DWC553"/>
      <c r="DWD553"/>
      <c r="DWE553"/>
      <c r="DWF553"/>
      <c r="DWG553"/>
      <c r="DWH553"/>
      <c r="DWI553"/>
      <c r="DWJ553"/>
      <c r="DWK553"/>
      <c r="DWL553"/>
      <c r="DWM553"/>
      <c r="DWN553"/>
      <c r="DWO553"/>
      <c r="DWP553"/>
      <c r="DWQ553"/>
      <c r="DWR553"/>
      <c r="DWS553"/>
      <c r="DWT553"/>
      <c r="DWU553"/>
      <c r="DWV553"/>
      <c r="DWW553"/>
      <c r="DWX553"/>
      <c r="DWY553"/>
      <c r="DWZ553"/>
      <c r="DXA553"/>
      <c r="DXB553"/>
      <c r="DXC553"/>
      <c r="DXD553"/>
      <c r="DXE553"/>
      <c r="DXF553"/>
      <c r="DXG553"/>
      <c r="DXH553"/>
      <c r="DXI553"/>
      <c r="DXJ553"/>
      <c r="DXK553"/>
      <c r="DXL553"/>
      <c r="DXM553"/>
      <c r="DXN553"/>
      <c r="DXO553"/>
      <c r="DXP553"/>
      <c r="DXQ553"/>
      <c r="DXR553"/>
      <c r="DXS553"/>
      <c r="DXT553"/>
      <c r="DXU553"/>
      <c r="DXV553"/>
      <c r="DXW553"/>
      <c r="DXX553"/>
      <c r="DXY553"/>
      <c r="DXZ553"/>
      <c r="DYA553"/>
      <c r="DYB553"/>
      <c r="DYC553"/>
      <c r="DYD553"/>
      <c r="DYE553"/>
      <c r="DYF553"/>
      <c r="DYG553"/>
      <c r="DYH553"/>
      <c r="DYI553"/>
      <c r="DYJ553"/>
      <c r="DYK553"/>
      <c r="DYL553"/>
      <c r="DYM553"/>
      <c r="DYN553"/>
      <c r="DYO553"/>
      <c r="DYP553"/>
      <c r="DYQ553"/>
      <c r="DYR553"/>
      <c r="DYS553"/>
      <c r="DYT553"/>
      <c r="DYU553"/>
      <c r="DYV553"/>
      <c r="DYW553"/>
      <c r="DYX553"/>
      <c r="DYY553"/>
      <c r="DYZ553"/>
      <c r="DZA553"/>
      <c r="DZB553"/>
      <c r="DZC553"/>
      <c r="DZD553"/>
      <c r="DZE553"/>
      <c r="DZF553"/>
      <c r="DZG553"/>
      <c r="DZH553"/>
      <c r="DZI553"/>
      <c r="DZJ553"/>
      <c r="DZK553"/>
      <c r="DZL553"/>
      <c r="DZM553"/>
      <c r="DZN553"/>
      <c r="DZO553"/>
      <c r="DZP553"/>
      <c r="DZQ553"/>
      <c r="DZR553"/>
      <c r="DZS553"/>
      <c r="DZT553"/>
      <c r="DZU553"/>
      <c r="DZV553"/>
      <c r="DZW553"/>
      <c r="DZX553"/>
      <c r="DZY553"/>
      <c r="DZZ553"/>
      <c r="EAA553"/>
      <c r="EAB553"/>
      <c r="EAC553"/>
      <c r="EAD553"/>
      <c r="EAE553"/>
      <c r="EAF553"/>
      <c r="EAG553"/>
      <c r="EAH553"/>
      <c r="EAI553"/>
      <c r="EAJ553"/>
      <c r="EAK553"/>
      <c r="EAL553"/>
      <c r="EAM553"/>
      <c r="EAN553"/>
      <c r="EAO553"/>
      <c r="EAP553"/>
      <c r="EAQ553"/>
      <c r="EAR553"/>
      <c r="EAS553"/>
      <c r="EAT553"/>
      <c r="EAU553"/>
      <c r="EAV553"/>
      <c r="EAW553"/>
      <c r="EAX553"/>
      <c r="EAY553"/>
      <c r="EAZ553"/>
      <c r="EBA553"/>
      <c r="EBB553"/>
      <c r="EBC553"/>
      <c r="EBD553"/>
      <c r="EBE553"/>
      <c r="EBF553"/>
      <c r="EBG553"/>
      <c r="EBH553"/>
      <c r="EBI553"/>
      <c r="EBJ553"/>
      <c r="EBK553"/>
      <c r="EBL553"/>
      <c r="EBM553"/>
      <c r="EBN553"/>
      <c r="EBO553"/>
      <c r="EBP553"/>
      <c r="EBQ553"/>
      <c r="EBR553"/>
      <c r="EBS553"/>
      <c r="EBT553"/>
      <c r="EBU553"/>
      <c r="EBV553"/>
      <c r="EBW553"/>
      <c r="EBX553"/>
      <c r="EBY553"/>
      <c r="EBZ553"/>
      <c r="ECA553"/>
      <c r="ECB553"/>
      <c r="ECC553"/>
      <c r="ECD553"/>
      <c r="ECE553"/>
      <c r="ECF553"/>
      <c r="ECG553"/>
      <c r="ECH553"/>
      <c r="ECI553"/>
      <c r="ECJ553"/>
      <c r="ECK553"/>
      <c r="ECL553"/>
      <c r="ECM553"/>
      <c r="ECN553"/>
      <c r="ECO553"/>
      <c r="ECP553"/>
      <c r="ECQ553"/>
      <c r="ECR553"/>
      <c r="ECS553"/>
      <c r="ECT553"/>
      <c r="ECU553"/>
      <c r="ECV553"/>
      <c r="ECW553"/>
      <c r="ECX553"/>
      <c r="ECY553"/>
      <c r="ECZ553"/>
      <c r="EDA553"/>
      <c r="EDB553"/>
      <c r="EDC553"/>
      <c r="EDD553"/>
      <c r="EDE553"/>
      <c r="EDF553"/>
      <c r="EDG553"/>
      <c r="EDH553"/>
      <c r="EDI553"/>
      <c r="EDJ553"/>
      <c r="EDK553"/>
      <c r="EDL553"/>
      <c r="EDM553"/>
      <c r="EDN553"/>
      <c r="EDO553"/>
      <c r="EDP553"/>
      <c r="EDQ553"/>
      <c r="EDR553"/>
      <c r="EDS553"/>
      <c r="EDT553"/>
      <c r="EDU553"/>
      <c r="EDV553"/>
      <c r="EDW553"/>
      <c r="EDX553"/>
      <c r="EDY553"/>
      <c r="EDZ553"/>
      <c r="EEA553"/>
      <c r="EEB553"/>
      <c r="EEC553"/>
      <c r="EED553"/>
      <c r="EEE553"/>
      <c r="EEF553"/>
      <c r="EEG553"/>
      <c r="EEH553"/>
      <c r="EEI553"/>
      <c r="EEJ553"/>
      <c r="EEK553"/>
      <c r="EEL553"/>
      <c r="EEM553"/>
      <c r="EEN553"/>
      <c r="EEO553"/>
      <c r="EEP553"/>
      <c r="EEQ553"/>
      <c r="EER553"/>
      <c r="EES553"/>
      <c r="EET553"/>
      <c r="EEU553"/>
      <c r="EEV553"/>
      <c r="EEW553"/>
      <c r="EEX553"/>
      <c r="EEY553"/>
      <c r="EEZ553"/>
      <c r="EFA553"/>
      <c r="EFB553"/>
      <c r="EFC553"/>
      <c r="EFD553"/>
      <c r="EFE553"/>
      <c r="EFF553"/>
      <c r="EFG553"/>
      <c r="EFH553"/>
      <c r="EFI553"/>
      <c r="EFJ553"/>
      <c r="EFK553"/>
      <c r="EFL553"/>
      <c r="EFM553"/>
      <c r="EFN553"/>
      <c r="EFO553"/>
      <c r="EFP553"/>
      <c r="EFQ553"/>
      <c r="EFR553"/>
      <c r="EFS553"/>
      <c r="EFT553"/>
      <c r="EFU553"/>
      <c r="EFV553"/>
      <c r="EFW553"/>
      <c r="EFX553"/>
      <c r="EFY553"/>
      <c r="EFZ553"/>
      <c r="EGA553"/>
      <c r="EGB553"/>
      <c r="EGC553"/>
      <c r="EGD553"/>
      <c r="EGE553"/>
      <c r="EGF553"/>
      <c r="EGG553"/>
      <c r="EGH553"/>
      <c r="EGI553"/>
      <c r="EGJ553"/>
      <c r="EGK553"/>
      <c r="EGL553"/>
      <c r="EGM553"/>
      <c r="EGN553"/>
      <c r="EGO553"/>
      <c r="EGP553"/>
      <c r="EGQ553"/>
      <c r="EGR553"/>
      <c r="EGS553"/>
      <c r="EGT553"/>
      <c r="EGU553"/>
      <c r="EGV553"/>
      <c r="EGW553"/>
      <c r="EGX553"/>
      <c r="EGY553"/>
      <c r="EGZ553"/>
      <c r="EHA553"/>
      <c r="EHB553"/>
      <c r="EHC553"/>
      <c r="EHD553"/>
      <c r="EHE553"/>
      <c r="EHF553"/>
      <c r="EHG553"/>
      <c r="EHH553"/>
      <c r="EHI553"/>
      <c r="EHJ553"/>
      <c r="EHK553"/>
      <c r="EHL553"/>
      <c r="EHM553"/>
      <c r="EHN553"/>
      <c r="EHO553"/>
      <c r="EHP553"/>
      <c r="EHQ553"/>
      <c r="EHR553"/>
      <c r="EHS553"/>
      <c r="EHT553"/>
      <c r="EHU553"/>
      <c r="EHV553"/>
      <c r="EHW553"/>
      <c r="EHX553"/>
      <c r="EHY553"/>
      <c r="EHZ553"/>
      <c r="EIA553"/>
      <c r="EIB553"/>
      <c r="EIC553"/>
      <c r="EID553"/>
      <c r="EIE553"/>
      <c r="EIF553"/>
      <c r="EIG553"/>
      <c r="EIH553"/>
      <c r="EII553"/>
      <c r="EIJ553"/>
      <c r="EIK553"/>
      <c r="EIL553"/>
      <c r="EIM553"/>
      <c r="EIN553"/>
      <c r="EIO553"/>
      <c r="EIP553"/>
      <c r="EIQ553"/>
      <c r="EIR553"/>
      <c r="EIS553"/>
      <c r="EIT553"/>
      <c r="EIU553"/>
      <c r="EIV553"/>
      <c r="EIW553"/>
      <c r="EIX553"/>
      <c r="EIY553"/>
      <c r="EIZ553"/>
      <c r="EJA553"/>
      <c r="EJB553"/>
      <c r="EJC553"/>
      <c r="EJD553"/>
      <c r="EJE553"/>
      <c r="EJF553"/>
      <c r="EJG553"/>
      <c r="EJH553"/>
      <c r="EJI553"/>
      <c r="EJJ553"/>
      <c r="EJK553"/>
      <c r="EJL553"/>
      <c r="EJM553"/>
      <c r="EJN553"/>
      <c r="EJO553"/>
      <c r="EJP553"/>
      <c r="EJQ553"/>
      <c r="EJR553"/>
      <c r="EJS553"/>
      <c r="EJT553"/>
      <c r="EJU553"/>
      <c r="EJV553"/>
      <c r="EJW553"/>
      <c r="EJX553"/>
      <c r="EJY553"/>
      <c r="EJZ553"/>
      <c r="EKA553"/>
      <c r="EKB553"/>
      <c r="EKC553"/>
      <c r="EKD553"/>
      <c r="EKE553"/>
      <c r="EKF553"/>
      <c r="EKG553"/>
      <c r="EKH553"/>
      <c r="EKI553"/>
      <c r="EKJ553"/>
      <c r="EKK553"/>
      <c r="EKL553"/>
      <c r="EKM553"/>
      <c r="EKN553"/>
      <c r="EKO553"/>
      <c r="EKP553"/>
      <c r="EKQ553"/>
      <c r="EKR553"/>
      <c r="EKS553"/>
      <c r="EKT553"/>
      <c r="EKU553"/>
      <c r="EKV553"/>
      <c r="EKW553"/>
      <c r="EKX553"/>
      <c r="EKY553"/>
      <c r="EKZ553"/>
      <c r="ELA553"/>
      <c r="ELB553"/>
      <c r="ELC553"/>
      <c r="ELD553"/>
      <c r="ELE553"/>
      <c r="ELF553"/>
      <c r="ELG553"/>
      <c r="ELH553"/>
      <c r="ELI553"/>
      <c r="ELJ553"/>
      <c r="ELK553"/>
      <c r="ELL553"/>
      <c r="ELM553"/>
      <c r="ELN553"/>
      <c r="ELO553"/>
      <c r="ELP553"/>
      <c r="ELQ553"/>
      <c r="ELR553"/>
      <c r="ELS553"/>
      <c r="ELT553"/>
      <c r="ELU553"/>
      <c r="ELV553"/>
      <c r="ELW553"/>
      <c r="ELX553"/>
      <c r="ELY553"/>
      <c r="ELZ553"/>
      <c r="EMA553"/>
      <c r="EMB553"/>
      <c r="EMC553"/>
      <c r="EMD553"/>
      <c r="EME553"/>
      <c r="EMF553"/>
      <c r="EMG553"/>
      <c r="EMH553"/>
      <c r="EMI553"/>
      <c r="EMJ553"/>
      <c r="EMK553"/>
      <c r="EML553"/>
      <c r="EMM553"/>
      <c r="EMN553"/>
      <c r="EMO553"/>
      <c r="EMP553"/>
      <c r="EMQ553"/>
      <c r="EMR553"/>
      <c r="EMS553"/>
      <c r="EMT553"/>
      <c r="EMU553"/>
      <c r="EMV553"/>
      <c r="EMW553"/>
      <c r="EMX553"/>
      <c r="EMY553"/>
      <c r="EMZ553"/>
      <c r="ENA553"/>
      <c r="ENB553"/>
      <c r="ENC553"/>
      <c r="END553"/>
      <c r="ENE553"/>
      <c r="ENF553"/>
      <c r="ENG553"/>
      <c r="ENH553"/>
      <c r="ENI553"/>
      <c r="ENJ553"/>
      <c r="ENK553"/>
      <c r="ENL553"/>
      <c r="ENM553"/>
      <c r="ENN553"/>
      <c r="ENO553"/>
      <c r="ENP553"/>
      <c r="ENQ553"/>
      <c r="ENR553"/>
      <c r="ENS553"/>
      <c r="ENT553"/>
      <c r="ENU553"/>
      <c r="ENV553"/>
      <c r="ENW553"/>
      <c r="ENX553"/>
      <c r="ENY553"/>
      <c r="ENZ553"/>
      <c r="EOA553"/>
      <c r="EOB553"/>
      <c r="EOC553"/>
      <c r="EOD553"/>
      <c r="EOE553"/>
      <c r="EOF553"/>
      <c r="EOG553"/>
      <c r="EOH553"/>
      <c r="EOI553"/>
      <c r="EOJ553"/>
      <c r="EOK553"/>
      <c r="EOL553"/>
      <c r="EOM553"/>
      <c r="EON553"/>
      <c r="EOO553"/>
      <c r="EOP553"/>
      <c r="EOQ553"/>
      <c r="EOR553"/>
      <c r="EOS553"/>
      <c r="EOT553"/>
      <c r="EOU553"/>
      <c r="EOV553"/>
      <c r="EOW553"/>
      <c r="EOX553"/>
      <c r="EOY553"/>
      <c r="EOZ553"/>
      <c r="EPA553"/>
      <c r="EPB553"/>
      <c r="EPC553"/>
      <c r="EPD553"/>
      <c r="EPE553"/>
      <c r="EPF553"/>
      <c r="EPG553"/>
      <c r="EPH553"/>
      <c r="EPI553"/>
      <c r="EPJ553"/>
      <c r="EPK553"/>
      <c r="EPL553"/>
      <c r="EPM553"/>
      <c r="EPN553"/>
      <c r="EPO553"/>
      <c r="EPP553"/>
      <c r="EPQ553"/>
      <c r="EPR553"/>
      <c r="EPS553"/>
      <c r="EPT553"/>
      <c r="EPU553"/>
      <c r="EPV553"/>
      <c r="EPW553"/>
      <c r="EPX553"/>
      <c r="EPY553"/>
      <c r="EPZ553"/>
      <c r="EQA553"/>
      <c r="EQB553"/>
      <c r="EQC553"/>
      <c r="EQD553"/>
      <c r="EQE553"/>
      <c r="EQF553"/>
      <c r="EQG553"/>
      <c r="EQH553"/>
      <c r="EQI553"/>
      <c r="EQJ553"/>
      <c r="EQK553"/>
      <c r="EQL553"/>
      <c r="EQM553"/>
      <c r="EQN553"/>
      <c r="EQO553"/>
      <c r="EQP553"/>
      <c r="EQQ553"/>
      <c r="EQR553"/>
      <c r="EQS553"/>
      <c r="EQT553"/>
      <c r="EQU553"/>
      <c r="EQV553"/>
      <c r="EQW553"/>
      <c r="EQX553"/>
      <c r="EQY553"/>
      <c r="EQZ553"/>
      <c r="ERA553"/>
      <c r="ERB553"/>
      <c r="ERC553"/>
      <c r="ERD553"/>
      <c r="ERE553"/>
      <c r="ERF553"/>
      <c r="ERG553"/>
      <c r="ERH553"/>
      <c r="ERI553"/>
      <c r="ERJ553"/>
      <c r="ERK553"/>
      <c r="ERL553"/>
      <c r="ERM553"/>
      <c r="ERN553"/>
      <c r="ERO553"/>
      <c r="ERP553"/>
      <c r="ERQ553"/>
      <c r="ERR553"/>
      <c r="ERS553"/>
      <c r="ERT553"/>
      <c r="ERU553"/>
      <c r="ERV553"/>
      <c r="ERW553"/>
      <c r="ERX553"/>
      <c r="ERY553"/>
      <c r="ERZ553"/>
      <c r="ESA553"/>
      <c r="ESB553"/>
      <c r="ESC553"/>
      <c r="ESD553"/>
      <c r="ESE553"/>
      <c r="ESF553"/>
      <c r="ESG553"/>
      <c r="ESH553"/>
      <c r="ESI553"/>
      <c r="ESJ553"/>
      <c r="ESK553"/>
      <c r="ESL553"/>
      <c r="ESM553"/>
      <c r="ESN553"/>
      <c r="ESO553"/>
      <c r="ESP553"/>
      <c r="ESQ553"/>
      <c r="ESR553"/>
      <c r="ESS553"/>
      <c r="EST553"/>
      <c r="ESU553"/>
      <c r="ESV553"/>
      <c r="ESW553"/>
      <c r="ESX553"/>
      <c r="ESY553"/>
      <c r="ESZ553"/>
      <c r="ETA553"/>
      <c r="ETB553"/>
      <c r="ETC553"/>
      <c r="ETD553"/>
      <c r="ETE553"/>
      <c r="ETF553"/>
      <c r="ETG553"/>
      <c r="ETH553"/>
      <c r="ETI553"/>
      <c r="ETJ553"/>
      <c r="ETK553"/>
      <c r="ETL553"/>
      <c r="ETM553"/>
      <c r="ETN553"/>
      <c r="ETO553"/>
      <c r="ETP553"/>
      <c r="ETQ553"/>
      <c r="ETR553"/>
      <c r="ETS553"/>
      <c r="ETT553"/>
      <c r="ETU553"/>
      <c r="ETV553"/>
      <c r="ETW553"/>
      <c r="ETX553"/>
      <c r="ETY553"/>
      <c r="ETZ553"/>
      <c r="EUA553"/>
      <c r="EUB553"/>
      <c r="EUC553"/>
      <c r="EUD553"/>
      <c r="EUE553"/>
      <c r="EUF553"/>
      <c r="EUG553"/>
      <c r="EUH553"/>
      <c r="EUI553"/>
      <c r="EUJ553"/>
      <c r="EUK553"/>
      <c r="EUL553"/>
      <c r="EUM553"/>
      <c r="EUN553"/>
      <c r="EUO553"/>
      <c r="EUP553"/>
      <c r="EUQ553"/>
      <c r="EUR553"/>
      <c r="EUS553"/>
      <c r="EUT553"/>
      <c r="EUU553"/>
      <c r="EUV553"/>
      <c r="EUW553"/>
      <c r="EUX553"/>
      <c r="EUY553"/>
      <c r="EUZ553"/>
      <c r="EVA553"/>
      <c r="EVB553"/>
      <c r="EVC553"/>
      <c r="EVD553"/>
      <c r="EVE553"/>
      <c r="EVF553"/>
      <c r="EVG553"/>
      <c r="EVH553"/>
      <c r="EVI553"/>
      <c r="EVJ553"/>
      <c r="EVK553"/>
      <c r="EVL553"/>
      <c r="EVM553"/>
      <c r="EVN553"/>
      <c r="EVO553"/>
      <c r="EVP553"/>
      <c r="EVQ553"/>
      <c r="EVR553"/>
      <c r="EVS553"/>
      <c r="EVT553"/>
      <c r="EVU553"/>
      <c r="EVV553"/>
      <c r="EVW553"/>
      <c r="EVX553"/>
      <c r="EVY553"/>
      <c r="EVZ553"/>
      <c r="EWA553"/>
      <c r="EWB553"/>
      <c r="EWC553"/>
      <c r="EWD553"/>
      <c r="EWE553"/>
      <c r="EWF553"/>
      <c r="EWG553"/>
      <c r="EWH553"/>
      <c r="EWI553"/>
      <c r="EWJ553"/>
      <c r="EWK553"/>
      <c r="EWL553"/>
      <c r="EWM553"/>
      <c r="EWN553"/>
      <c r="EWO553"/>
      <c r="EWP553"/>
      <c r="EWQ553"/>
      <c r="EWR553"/>
      <c r="EWS553"/>
      <c r="EWT553"/>
      <c r="EWU553"/>
      <c r="EWV553"/>
      <c r="EWW553"/>
      <c r="EWX553"/>
      <c r="EWY553"/>
      <c r="EWZ553"/>
      <c r="EXA553"/>
      <c r="EXB553"/>
      <c r="EXC553"/>
      <c r="EXD553"/>
      <c r="EXE553"/>
      <c r="EXF553"/>
      <c r="EXG553"/>
      <c r="EXH553"/>
      <c r="EXI553"/>
      <c r="EXJ553"/>
      <c r="EXK553"/>
      <c r="EXL553"/>
      <c r="EXM553"/>
      <c r="EXN553"/>
      <c r="EXO553"/>
      <c r="EXP553"/>
      <c r="EXQ553"/>
      <c r="EXR553"/>
      <c r="EXS553"/>
      <c r="EXT553"/>
      <c r="EXU553"/>
      <c r="EXV553"/>
      <c r="EXW553"/>
      <c r="EXX553"/>
      <c r="EXY553"/>
      <c r="EXZ553"/>
      <c r="EYA553"/>
      <c r="EYB553"/>
      <c r="EYC553"/>
      <c r="EYD553"/>
      <c r="EYE553"/>
      <c r="EYF553"/>
      <c r="EYG553"/>
      <c r="EYH553"/>
      <c r="EYI553"/>
      <c r="EYJ553"/>
      <c r="EYK553"/>
      <c r="EYL553"/>
      <c r="EYM553"/>
      <c r="EYN553"/>
      <c r="EYO553"/>
      <c r="EYP553"/>
      <c r="EYQ553"/>
      <c r="EYR553"/>
      <c r="EYS553"/>
      <c r="EYT553"/>
      <c r="EYU553"/>
      <c r="EYV553"/>
      <c r="EYW553"/>
      <c r="EYX553"/>
      <c r="EYY553"/>
      <c r="EYZ553"/>
      <c r="EZA553"/>
      <c r="EZB553"/>
      <c r="EZC553"/>
      <c r="EZD553"/>
      <c r="EZE553"/>
      <c r="EZF553"/>
      <c r="EZG553"/>
      <c r="EZH553"/>
      <c r="EZI553"/>
      <c r="EZJ553"/>
      <c r="EZK553"/>
      <c r="EZL553"/>
      <c r="EZM553"/>
      <c r="EZN553"/>
      <c r="EZO553"/>
      <c r="EZP553"/>
      <c r="EZQ553"/>
      <c r="EZR553"/>
      <c r="EZS553"/>
      <c r="EZT553"/>
      <c r="EZU553"/>
      <c r="EZV553"/>
      <c r="EZW553"/>
      <c r="EZX553"/>
      <c r="EZY553"/>
      <c r="EZZ553"/>
      <c r="FAA553"/>
      <c r="FAB553"/>
      <c r="FAC553"/>
      <c r="FAD553"/>
      <c r="FAE553"/>
      <c r="FAF553"/>
      <c r="FAG553"/>
      <c r="FAH553"/>
      <c r="FAI553"/>
      <c r="FAJ553"/>
      <c r="FAK553"/>
      <c r="FAL553"/>
      <c r="FAM553"/>
      <c r="FAN553"/>
      <c r="FAO553"/>
      <c r="FAP553"/>
      <c r="FAQ553"/>
      <c r="FAR553"/>
      <c r="FAS553"/>
      <c r="FAT553"/>
      <c r="FAU553"/>
      <c r="FAV553"/>
      <c r="FAW553"/>
      <c r="FAX553"/>
      <c r="FAY553"/>
      <c r="FAZ553"/>
      <c r="FBA553"/>
      <c r="FBB553"/>
      <c r="FBC553"/>
      <c r="FBD553"/>
      <c r="FBE553"/>
      <c r="FBF553"/>
      <c r="FBG553"/>
      <c r="FBH553"/>
      <c r="FBI553"/>
      <c r="FBJ553"/>
      <c r="FBK553"/>
      <c r="FBL553"/>
      <c r="FBM553"/>
      <c r="FBN553"/>
      <c r="FBO553"/>
      <c r="FBP553"/>
      <c r="FBQ553"/>
      <c r="FBR553"/>
      <c r="FBS553"/>
      <c r="FBT553"/>
      <c r="FBU553"/>
      <c r="FBV553"/>
      <c r="FBW553"/>
      <c r="FBX553"/>
      <c r="FBY553"/>
      <c r="FBZ553"/>
      <c r="FCA553"/>
      <c r="FCB553"/>
      <c r="FCC553"/>
      <c r="FCD553"/>
      <c r="FCE553"/>
      <c r="FCF553"/>
      <c r="FCG553"/>
      <c r="FCH553"/>
      <c r="FCI553"/>
      <c r="FCJ553"/>
      <c r="FCK553"/>
      <c r="FCL553"/>
      <c r="FCM553"/>
      <c r="FCN553"/>
      <c r="FCO553"/>
      <c r="FCP553"/>
      <c r="FCQ553"/>
      <c r="FCR553"/>
      <c r="FCS553"/>
      <c r="FCT553"/>
      <c r="FCU553"/>
      <c r="FCV553"/>
      <c r="FCW553"/>
      <c r="FCX553"/>
      <c r="FCY553"/>
      <c r="FCZ553"/>
      <c r="FDA553"/>
      <c r="FDB553"/>
      <c r="FDC553"/>
      <c r="FDD553"/>
      <c r="FDE553"/>
      <c r="FDF553"/>
      <c r="FDG553"/>
      <c r="FDH553"/>
      <c r="FDI553"/>
      <c r="FDJ553"/>
      <c r="FDK553"/>
      <c r="FDL553"/>
      <c r="FDM553"/>
      <c r="FDN553"/>
      <c r="FDO553"/>
      <c r="FDP553"/>
      <c r="FDQ553"/>
      <c r="FDR553"/>
      <c r="FDS553"/>
      <c r="FDT553"/>
      <c r="FDU553"/>
      <c r="FDV553"/>
      <c r="FDW553"/>
      <c r="FDX553"/>
      <c r="FDY553"/>
      <c r="FDZ553"/>
      <c r="FEA553"/>
      <c r="FEB553"/>
      <c r="FEC553"/>
      <c r="FED553"/>
      <c r="FEE553"/>
      <c r="FEF553"/>
      <c r="FEG553"/>
      <c r="FEH553"/>
      <c r="FEI553"/>
      <c r="FEJ553"/>
      <c r="FEK553"/>
      <c r="FEL553"/>
      <c r="FEM553"/>
      <c r="FEN553"/>
      <c r="FEO553"/>
      <c r="FEP553"/>
      <c r="FEQ553"/>
      <c r="FER553"/>
      <c r="FES553"/>
      <c r="FET553"/>
      <c r="FEU553"/>
      <c r="FEV553"/>
      <c r="FEW553"/>
      <c r="FEX553"/>
      <c r="FEY553"/>
      <c r="FEZ553"/>
      <c r="FFA553"/>
      <c r="FFB553"/>
      <c r="FFC553"/>
      <c r="FFD553"/>
      <c r="FFE553"/>
      <c r="FFF553"/>
      <c r="FFG553"/>
      <c r="FFH553"/>
      <c r="FFI553"/>
      <c r="FFJ553"/>
      <c r="FFK553"/>
      <c r="FFL553"/>
      <c r="FFM553"/>
      <c r="FFN553"/>
      <c r="FFO553"/>
      <c r="FFP553"/>
      <c r="FFQ553"/>
      <c r="FFR553"/>
      <c r="FFS553"/>
      <c r="FFT553"/>
      <c r="FFU553"/>
      <c r="FFV553"/>
      <c r="FFW553"/>
      <c r="FFX553"/>
      <c r="FFY553"/>
      <c r="FFZ553"/>
      <c r="FGA553"/>
      <c r="FGB553"/>
      <c r="FGC553"/>
      <c r="FGD553"/>
      <c r="FGE553"/>
      <c r="FGF553"/>
      <c r="FGG553"/>
      <c r="FGH553"/>
      <c r="FGI553"/>
      <c r="FGJ553"/>
      <c r="FGK553"/>
      <c r="FGL553"/>
      <c r="FGM553"/>
      <c r="FGN553"/>
      <c r="FGO553"/>
      <c r="FGP553"/>
      <c r="FGQ553"/>
      <c r="FGR553"/>
      <c r="FGS553"/>
      <c r="FGT553"/>
      <c r="FGU553"/>
      <c r="FGV553"/>
      <c r="FGW553"/>
      <c r="FGX553"/>
      <c r="FGY553"/>
      <c r="FGZ553"/>
      <c r="FHA553"/>
      <c r="FHB553"/>
      <c r="FHC553"/>
      <c r="FHD553"/>
      <c r="FHE553"/>
      <c r="FHF553"/>
      <c r="FHG553"/>
      <c r="FHH553"/>
      <c r="FHI553"/>
      <c r="FHJ553"/>
      <c r="FHK553"/>
      <c r="FHL553"/>
      <c r="FHM553"/>
      <c r="FHN553"/>
      <c r="FHO553"/>
      <c r="FHP553"/>
      <c r="FHQ553"/>
      <c r="FHR553"/>
      <c r="FHS553"/>
      <c r="FHT553"/>
      <c r="FHU553"/>
      <c r="FHV553"/>
      <c r="FHW553"/>
      <c r="FHX553"/>
      <c r="FHY553"/>
      <c r="FHZ553"/>
      <c r="FIA553"/>
      <c r="FIB553"/>
      <c r="FIC553"/>
      <c r="FID553"/>
      <c r="FIE553"/>
      <c r="FIF553"/>
      <c r="FIG553"/>
      <c r="FIH553"/>
      <c r="FII553"/>
      <c r="FIJ553"/>
      <c r="FIK553"/>
      <c r="FIL553"/>
      <c r="FIM553"/>
      <c r="FIN553"/>
      <c r="FIO553"/>
      <c r="FIP553"/>
      <c r="FIQ553"/>
      <c r="FIR553"/>
      <c r="FIS553"/>
      <c r="FIT553"/>
      <c r="FIU553"/>
      <c r="FIV553"/>
      <c r="FIW553"/>
      <c r="FIX553"/>
      <c r="FIY553"/>
      <c r="FIZ553"/>
      <c r="FJA553"/>
      <c r="FJB553"/>
      <c r="FJC553"/>
      <c r="FJD553"/>
      <c r="FJE553"/>
      <c r="FJF553"/>
      <c r="FJG553"/>
      <c r="FJH553"/>
      <c r="FJI553"/>
      <c r="FJJ553"/>
      <c r="FJK553"/>
      <c r="FJL553"/>
      <c r="FJM553"/>
      <c r="FJN553"/>
      <c r="FJO553"/>
      <c r="FJP553"/>
      <c r="FJQ553"/>
      <c r="FJR553"/>
      <c r="FJS553"/>
      <c r="FJT553"/>
      <c r="FJU553"/>
      <c r="FJV553"/>
      <c r="FJW553"/>
      <c r="FJX553"/>
      <c r="FJY553"/>
      <c r="FJZ553"/>
      <c r="FKA553"/>
      <c r="FKB553"/>
      <c r="FKC553"/>
      <c r="FKD553"/>
      <c r="FKE553"/>
      <c r="FKF553"/>
      <c r="FKG553"/>
      <c r="FKH553"/>
      <c r="FKI553"/>
      <c r="FKJ553"/>
      <c r="FKK553"/>
      <c r="FKL553"/>
      <c r="FKM553"/>
      <c r="FKN553"/>
      <c r="FKO553"/>
      <c r="FKP553"/>
      <c r="FKQ553"/>
      <c r="FKR553"/>
      <c r="FKS553"/>
      <c r="FKT553"/>
      <c r="FKU553"/>
      <c r="FKV553"/>
      <c r="FKW553"/>
      <c r="FKX553"/>
      <c r="FKY553"/>
      <c r="FKZ553"/>
      <c r="FLA553"/>
      <c r="FLB553"/>
      <c r="FLC553"/>
      <c r="FLD553"/>
      <c r="FLE553"/>
      <c r="FLF553"/>
      <c r="FLG553"/>
      <c r="FLH553"/>
      <c r="FLI553"/>
      <c r="FLJ553"/>
      <c r="FLK553"/>
      <c r="FLL553"/>
      <c r="FLM553"/>
      <c r="FLN553"/>
      <c r="FLO553"/>
      <c r="FLP553"/>
      <c r="FLQ553"/>
      <c r="FLR553"/>
      <c r="FLS553"/>
      <c r="FLT553"/>
      <c r="FLU553"/>
      <c r="FLV553"/>
      <c r="FLW553"/>
      <c r="FLX553"/>
      <c r="FLY553"/>
      <c r="FLZ553"/>
      <c r="FMA553"/>
      <c r="FMB553"/>
      <c r="FMC553"/>
      <c r="FMD553"/>
      <c r="FME553"/>
      <c r="FMF553"/>
      <c r="FMG553"/>
      <c r="FMH553"/>
      <c r="FMI553"/>
      <c r="FMJ553"/>
      <c r="FMK553"/>
      <c r="FML553"/>
      <c r="FMM553"/>
      <c r="FMN553"/>
      <c r="FMO553"/>
      <c r="FMP553"/>
      <c r="FMQ553"/>
      <c r="FMR553"/>
      <c r="FMS553"/>
      <c r="FMT553"/>
      <c r="FMU553"/>
      <c r="FMV553"/>
      <c r="FMW553"/>
      <c r="FMX553"/>
      <c r="FMY553"/>
      <c r="FMZ553"/>
      <c r="FNA553"/>
      <c r="FNB553"/>
      <c r="FNC553"/>
      <c r="FND553"/>
      <c r="FNE553"/>
      <c r="FNF553"/>
      <c r="FNG553"/>
      <c r="FNH553"/>
      <c r="FNI553"/>
      <c r="FNJ553"/>
      <c r="FNK553"/>
      <c r="FNL553"/>
      <c r="FNM553"/>
      <c r="FNN553"/>
      <c r="FNO553"/>
      <c r="FNP553"/>
      <c r="FNQ553"/>
      <c r="FNR553"/>
      <c r="FNS553"/>
      <c r="FNT553"/>
      <c r="FNU553"/>
      <c r="FNV553"/>
      <c r="FNW553"/>
      <c r="FNX553"/>
      <c r="FNY553"/>
      <c r="FNZ553"/>
      <c r="FOA553"/>
      <c r="FOB553"/>
      <c r="FOC553"/>
      <c r="FOD553"/>
      <c r="FOE553"/>
      <c r="FOF553"/>
      <c r="FOG553"/>
      <c r="FOH553"/>
      <c r="FOI553"/>
      <c r="FOJ553"/>
      <c r="FOK553"/>
      <c r="FOL553"/>
      <c r="FOM553"/>
      <c r="FON553"/>
      <c r="FOO553"/>
      <c r="FOP553"/>
      <c r="FOQ553"/>
      <c r="FOR553"/>
      <c r="FOS553"/>
      <c r="FOT553"/>
      <c r="FOU553"/>
      <c r="FOV553"/>
      <c r="FOW553"/>
      <c r="FOX553"/>
      <c r="FOY553"/>
      <c r="FOZ553"/>
      <c r="FPA553"/>
      <c r="FPB553"/>
      <c r="FPC553"/>
      <c r="FPD553"/>
      <c r="FPE553"/>
      <c r="FPF553"/>
      <c r="FPG553"/>
      <c r="FPH553"/>
      <c r="FPI553"/>
      <c r="FPJ553"/>
      <c r="FPK553"/>
      <c r="FPL553"/>
      <c r="FPM553"/>
      <c r="FPN553"/>
      <c r="FPO553"/>
      <c r="FPP553"/>
      <c r="FPQ553"/>
      <c r="FPR553"/>
      <c r="FPS553"/>
      <c r="FPT553"/>
      <c r="FPU553"/>
      <c r="FPV553"/>
      <c r="FPW553"/>
      <c r="FPX553"/>
      <c r="FPY553"/>
      <c r="FPZ553"/>
      <c r="FQA553"/>
      <c r="FQB553"/>
      <c r="FQC553"/>
      <c r="FQD553"/>
      <c r="FQE553"/>
      <c r="FQF553"/>
      <c r="FQG553"/>
      <c r="FQH553"/>
      <c r="FQI553"/>
      <c r="FQJ553"/>
      <c r="FQK553"/>
      <c r="FQL553"/>
      <c r="FQM553"/>
      <c r="FQN553"/>
      <c r="FQO553"/>
      <c r="FQP553"/>
      <c r="FQQ553"/>
      <c r="FQR553"/>
      <c r="FQS553"/>
      <c r="FQT553"/>
      <c r="FQU553"/>
      <c r="FQV553"/>
      <c r="FQW553"/>
      <c r="FQX553"/>
      <c r="FQY553"/>
      <c r="FQZ553"/>
      <c r="FRA553"/>
      <c r="FRB553"/>
      <c r="FRC553"/>
      <c r="FRD553"/>
      <c r="FRE553"/>
      <c r="FRF553"/>
      <c r="FRG553"/>
      <c r="FRH553"/>
      <c r="FRI553"/>
      <c r="FRJ553"/>
      <c r="FRK553"/>
      <c r="FRL553"/>
      <c r="FRM553"/>
      <c r="FRN553"/>
      <c r="FRO553"/>
      <c r="FRP553"/>
      <c r="FRQ553"/>
      <c r="FRR553"/>
      <c r="FRS553"/>
      <c r="FRT553"/>
      <c r="FRU553"/>
      <c r="FRV553"/>
      <c r="FRW553"/>
      <c r="FRX553"/>
      <c r="FRY553"/>
      <c r="FRZ553"/>
      <c r="FSA553"/>
      <c r="FSB553"/>
      <c r="FSC553"/>
      <c r="FSD553"/>
      <c r="FSE553"/>
      <c r="FSF553"/>
      <c r="FSG553"/>
      <c r="FSH553"/>
      <c r="FSI553"/>
      <c r="FSJ553"/>
      <c r="FSK553"/>
      <c r="FSL553"/>
      <c r="FSM553"/>
      <c r="FSN553"/>
      <c r="FSO553"/>
      <c r="FSP553"/>
      <c r="FSQ553"/>
      <c r="FSR553"/>
      <c r="FSS553"/>
      <c r="FST553"/>
      <c r="FSU553"/>
      <c r="FSV553"/>
      <c r="FSW553"/>
      <c r="FSX553"/>
      <c r="FSY553"/>
      <c r="FSZ553"/>
      <c r="FTA553"/>
      <c r="FTB553"/>
      <c r="FTC553"/>
      <c r="FTD553"/>
      <c r="FTE553"/>
      <c r="FTF553"/>
      <c r="FTG553"/>
      <c r="FTH553"/>
      <c r="FTI553"/>
      <c r="FTJ553"/>
      <c r="FTK553"/>
      <c r="FTL553"/>
      <c r="FTM553"/>
      <c r="FTN553"/>
      <c r="FTO553"/>
      <c r="FTP553"/>
      <c r="FTQ553"/>
      <c r="FTR553"/>
      <c r="FTS553"/>
      <c r="FTT553"/>
      <c r="FTU553"/>
      <c r="FTV553"/>
      <c r="FTW553"/>
      <c r="FTX553"/>
      <c r="FTY553"/>
      <c r="FTZ553"/>
      <c r="FUA553"/>
      <c r="FUB553"/>
      <c r="FUC553"/>
      <c r="FUD553"/>
      <c r="FUE553"/>
      <c r="FUF553"/>
      <c r="FUG553"/>
      <c r="FUH553"/>
      <c r="FUI553"/>
      <c r="FUJ553"/>
      <c r="FUK553"/>
      <c r="FUL553"/>
      <c r="FUM553"/>
      <c r="FUN553"/>
      <c r="FUO553"/>
      <c r="FUP553"/>
      <c r="FUQ553"/>
      <c r="FUR553"/>
      <c r="FUS553"/>
      <c r="FUT553"/>
      <c r="FUU553"/>
      <c r="FUV553"/>
      <c r="FUW553"/>
      <c r="FUX553"/>
      <c r="FUY553"/>
      <c r="FUZ553"/>
      <c r="FVA553"/>
      <c r="FVB553"/>
      <c r="FVC553"/>
      <c r="FVD553"/>
      <c r="FVE553"/>
      <c r="FVF553"/>
      <c r="FVG553"/>
      <c r="FVH553"/>
      <c r="FVI553"/>
      <c r="FVJ553"/>
      <c r="FVK553"/>
      <c r="FVL553"/>
      <c r="FVM553"/>
      <c r="FVN553"/>
      <c r="FVO553"/>
      <c r="FVP553"/>
      <c r="FVQ553"/>
      <c r="FVR553"/>
      <c r="FVS553"/>
      <c r="FVT553"/>
      <c r="FVU553"/>
      <c r="FVV553"/>
      <c r="FVW553"/>
      <c r="FVX553"/>
      <c r="FVY553"/>
      <c r="FVZ553"/>
      <c r="FWA553"/>
      <c r="FWB553"/>
      <c r="FWC553"/>
      <c r="FWD553"/>
      <c r="FWE553"/>
      <c r="FWF553"/>
      <c r="FWG553"/>
      <c r="FWH553"/>
      <c r="FWI553"/>
      <c r="FWJ553"/>
      <c r="FWK553"/>
      <c r="FWL553"/>
      <c r="FWM553"/>
      <c r="FWN553"/>
      <c r="FWO553"/>
      <c r="FWP553"/>
      <c r="FWQ553"/>
      <c r="FWR553"/>
      <c r="FWS553"/>
      <c r="FWT553"/>
      <c r="FWU553"/>
      <c r="FWV553"/>
      <c r="FWW553"/>
      <c r="FWX553"/>
      <c r="FWY553"/>
      <c r="FWZ553"/>
      <c r="FXA553"/>
      <c r="FXB553"/>
      <c r="FXC553"/>
      <c r="FXD553"/>
      <c r="FXE553"/>
      <c r="FXF553"/>
      <c r="FXG553"/>
      <c r="FXH553"/>
      <c r="FXI553"/>
      <c r="FXJ553"/>
      <c r="FXK553"/>
      <c r="FXL553"/>
      <c r="FXM553"/>
      <c r="FXN553"/>
      <c r="FXO553"/>
      <c r="FXP553"/>
      <c r="FXQ553"/>
      <c r="FXR553"/>
      <c r="FXS553"/>
      <c r="FXT553"/>
      <c r="FXU553"/>
      <c r="FXV553"/>
      <c r="FXW553"/>
      <c r="FXX553"/>
      <c r="FXY553"/>
      <c r="FXZ553"/>
      <c r="FYA553"/>
      <c r="FYB553"/>
      <c r="FYC553"/>
      <c r="FYD553"/>
      <c r="FYE553"/>
      <c r="FYF553"/>
      <c r="FYG553"/>
      <c r="FYH553"/>
      <c r="FYI553"/>
      <c r="FYJ553"/>
      <c r="FYK553"/>
      <c r="FYL553"/>
      <c r="FYM553"/>
      <c r="FYN553"/>
      <c r="FYO553"/>
      <c r="FYP553"/>
      <c r="FYQ553"/>
      <c r="FYR553"/>
      <c r="FYS553"/>
      <c r="FYT553"/>
      <c r="FYU553"/>
      <c r="FYV553"/>
      <c r="FYW553"/>
      <c r="FYX553"/>
      <c r="FYY553"/>
      <c r="FYZ553"/>
      <c r="FZA553"/>
      <c r="FZB553"/>
      <c r="FZC553"/>
      <c r="FZD553"/>
      <c r="FZE553"/>
      <c r="FZF553"/>
      <c r="FZG553"/>
      <c r="FZH553"/>
      <c r="FZI553"/>
      <c r="FZJ553"/>
      <c r="FZK553"/>
      <c r="FZL553"/>
      <c r="FZM553"/>
      <c r="FZN553"/>
      <c r="FZO553"/>
      <c r="FZP553"/>
      <c r="FZQ553"/>
      <c r="FZR553"/>
      <c r="FZS553"/>
      <c r="FZT553"/>
      <c r="FZU553"/>
      <c r="FZV553"/>
      <c r="FZW553"/>
      <c r="FZX553"/>
      <c r="FZY553"/>
      <c r="FZZ553"/>
      <c r="GAA553"/>
      <c r="GAB553"/>
      <c r="GAC553"/>
      <c r="GAD553"/>
      <c r="GAE553"/>
      <c r="GAF553"/>
      <c r="GAG553"/>
      <c r="GAH553"/>
      <c r="GAI553"/>
      <c r="GAJ553"/>
      <c r="GAK553"/>
      <c r="GAL553"/>
      <c r="GAM553"/>
      <c r="GAN553"/>
      <c r="GAO553"/>
      <c r="GAP553"/>
      <c r="GAQ553"/>
      <c r="GAR553"/>
      <c r="GAS553"/>
      <c r="GAT553"/>
      <c r="GAU553"/>
      <c r="GAV553"/>
      <c r="GAW553"/>
      <c r="GAX553"/>
      <c r="GAY553"/>
      <c r="GAZ553"/>
      <c r="GBA553"/>
      <c r="GBB553"/>
      <c r="GBC553"/>
      <c r="GBD553"/>
      <c r="GBE553"/>
      <c r="GBF553"/>
      <c r="GBG553"/>
      <c r="GBH553"/>
      <c r="GBI553"/>
      <c r="GBJ553"/>
      <c r="GBK553"/>
      <c r="GBL553"/>
      <c r="GBM553"/>
      <c r="GBN553"/>
      <c r="GBO553"/>
      <c r="GBP553"/>
      <c r="GBQ553"/>
      <c r="GBR553"/>
      <c r="GBS553"/>
      <c r="GBT553"/>
      <c r="GBU553"/>
      <c r="GBV553"/>
      <c r="GBW553"/>
      <c r="GBX553"/>
      <c r="GBY553"/>
      <c r="GBZ553"/>
      <c r="GCA553"/>
      <c r="GCB553"/>
      <c r="GCC553"/>
      <c r="GCD553"/>
      <c r="GCE553"/>
      <c r="GCF553"/>
      <c r="GCG553"/>
      <c r="GCH553"/>
      <c r="GCI553"/>
      <c r="GCJ553"/>
      <c r="GCK553"/>
      <c r="GCL553"/>
      <c r="GCM553"/>
      <c r="GCN553"/>
      <c r="GCO553"/>
      <c r="GCP553"/>
      <c r="GCQ553"/>
      <c r="GCR553"/>
      <c r="GCS553"/>
      <c r="GCT553"/>
      <c r="GCU553"/>
      <c r="GCV553"/>
      <c r="GCW553"/>
      <c r="GCX553"/>
      <c r="GCY553"/>
      <c r="GCZ553"/>
      <c r="GDA553"/>
      <c r="GDB553"/>
      <c r="GDC553"/>
      <c r="GDD553"/>
      <c r="GDE553"/>
      <c r="GDF553"/>
      <c r="GDG553"/>
      <c r="GDH553"/>
      <c r="GDI553"/>
      <c r="GDJ553"/>
      <c r="GDK553"/>
      <c r="GDL553"/>
      <c r="GDM553"/>
      <c r="GDN553"/>
      <c r="GDO553"/>
      <c r="GDP553"/>
      <c r="GDQ553"/>
      <c r="GDR553"/>
      <c r="GDS553"/>
      <c r="GDT553"/>
      <c r="GDU553"/>
      <c r="GDV553"/>
      <c r="GDW553"/>
      <c r="GDX553"/>
      <c r="GDY553"/>
      <c r="GDZ553"/>
      <c r="GEA553"/>
      <c r="GEB553"/>
      <c r="GEC553"/>
      <c r="GED553"/>
      <c r="GEE553"/>
      <c r="GEF553"/>
      <c r="GEG553"/>
      <c r="GEH553"/>
      <c r="GEI553"/>
      <c r="GEJ553"/>
      <c r="GEK553"/>
      <c r="GEL553"/>
      <c r="GEM553"/>
      <c r="GEN553"/>
      <c r="GEO553"/>
      <c r="GEP553"/>
      <c r="GEQ553"/>
      <c r="GER553"/>
      <c r="GES553"/>
      <c r="GET553"/>
      <c r="GEU553"/>
      <c r="GEV553"/>
      <c r="GEW553"/>
      <c r="GEX553"/>
      <c r="GEY553"/>
      <c r="GEZ553"/>
      <c r="GFA553"/>
      <c r="GFB553"/>
      <c r="GFC553"/>
      <c r="GFD553"/>
      <c r="GFE553"/>
      <c r="GFF553"/>
      <c r="GFG553"/>
      <c r="GFH553"/>
      <c r="GFI553"/>
      <c r="GFJ553"/>
      <c r="GFK553"/>
      <c r="GFL553"/>
      <c r="GFM553"/>
      <c r="GFN553"/>
      <c r="GFO553"/>
      <c r="GFP553"/>
      <c r="GFQ553"/>
      <c r="GFR553"/>
      <c r="GFS553"/>
      <c r="GFT553"/>
      <c r="GFU553"/>
      <c r="GFV553"/>
      <c r="GFW553"/>
      <c r="GFX553"/>
      <c r="GFY553"/>
      <c r="GFZ553"/>
      <c r="GGA553"/>
      <c r="GGB553"/>
      <c r="GGC553"/>
      <c r="GGD553"/>
      <c r="GGE553"/>
      <c r="GGF553"/>
      <c r="GGG553"/>
      <c r="GGH553"/>
      <c r="GGI553"/>
      <c r="GGJ553"/>
      <c r="GGK553"/>
      <c r="GGL553"/>
      <c r="GGM553"/>
      <c r="GGN553"/>
      <c r="GGO553"/>
      <c r="GGP553"/>
      <c r="GGQ553"/>
      <c r="GGR553"/>
      <c r="GGS553"/>
      <c r="GGT553"/>
      <c r="GGU553"/>
      <c r="GGV553"/>
      <c r="GGW553"/>
      <c r="GGX553"/>
      <c r="GGY553"/>
      <c r="GGZ553"/>
      <c r="GHA553"/>
      <c r="GHB553"/>
      <c r="GHC553"/>
      <c r="GHD553"/>
      <c r="GHE553"/>
      <c r="GHF553"/>
      <c r="GHG553"/>
      <c r="GHH553"/>
      <c r="GHI553"/>
      <c r="GHJ553"/>
      <c r="GHK553"/>
      <c r="GHL553"/>
      <c r="GHM553"/>
      <c r="GHN553"/>
      <c r="GHO553"/>
      <c r="GHP553"/>
      <c r="GHQ553"/>
      <c r="GHR553"/>
      <c r="GHS553"/>
      <c r="GHT553"/>
      <c r="GHU553"/>
      <c r="GHV553"/>
      <c r="GHW553"/>
      <c r="GHX553"/>
      <c r="GHY553"/>
      <c r="GHZ553"/>
      <c r="GIA553"/>
      <c r="GIB553"/>
      <c r="GIC553"/>
      <c r="GID553"/>
      <c r="GIE553"/>
      <c r="GIF553"/>
      <c r="GIG553"/>
      <c r="GIH553"/>
      <c r="GII553"/>
      <c r="GIJ553"/>
      <c r="GIK553"/>
      <c r="GIL553"/>
      <c r="GIM553"/>
      <c r="GIN553"/>
      <c r="GIO553"/>
      <c r="GIP553"/>
      <c r="GIQ553"/>
      <c r="GIR553"/>
      <c r="GIS553"/>
      <c r="GIT553"/>
      <c r="GIU553"/>
      <c r="GIV553"/>
      <c r="GIW553"/>
      <c r="GIX553"/>
      <c r="GIY553"/>
      <c r="GIZ553"/>
      <c r="GJA553"/>
      <c r="GJB553"/>
      <c r="GJC553"/>
      <c r="GJD553"/>
      <c r="GJE553"/>
      <c r="GJF553"/>
      <c r="GJG553"/>
      <c r="GJH553"/>
      <c r="GJI553"/>
      <c r="GJJ553"/>
      <c r="GJK553"/>
      <c r="GJL553"/>
      <c r="GJM553"/>
      <c r="GJN553"/>
      <c r="GJO553"/>
      <c r="GJP553"/>
      <c r="GJQ553"/>
      <c r="GJR553"/>
      <c r="GJS553"/>
      <c r="GJT553"/>
      <c r="GJU553"/>
      <c r="GJV553"/>
      <c r="GJW553"/>
      <c r="GJX553"/>
      <c r="GJY553"/>
      <c r="GJZ553"/>
      <c r="GKA553"/>
      <c r="GKB553"/>
      <c r="GKC553"/>
      <c r="GKD553"/>
      <c r="GKE553"/>
      <c r="GKF553"/>
      <c r="GKG553"/>
      <c r="GKH553"/>
      <c r="GKI553"/>
      <c r="GKJ553"/>
      <c r="GKK553"/>
      <c r="GKL553"/>
      <c r="GKM553"/>
      <c r="GKN553"/>
      <c r="GKO553"/>
      <c r="GKP553"/>
      <c r="GKQ553"/>
      <c r="GKR553"/>
      <c r="GKS553"/>
      <c r="GKT553"/>
      <c r="GKU553"/>
      <c r="GKV553"/>
      <c r="GKW553"/>
      <c r="GKX553"/>
      <c r="GKY553"/>
      <c r="GKZ553"/>
      <c r="GLA553"/>
      <c r="GLB553"/>
      <c r="GLC553"/>
      <c r="GLD553"/>
      <c r="GLE553"/>
      <c r="GLF553"/>
      <c r="GLG553"/>
      <c r="GLH553"/>
      <c r="GLI553"/>
      <c r="GLJ553"/>
      <c r="GLK553"/>
      <c r="GLL553"/>
      <c r="GLM553"/>
      <c r="GLN553"/>
      <c r="GLO553"/>
      <c r="GLP553"/>
      <c r="GLQ553"/>
      <c r="GLR553"/>
      <c r="GLS553"/>
      <c r="GLT553"/>
      <c r="GLU553"/>
      <c r="GLV553"/>
      <c r="GLW553"/>
      <c r="GLX553"/>
      <c r="GLY553"/>
      <c r="GLZ553"/>
      <c r="GMA553"/>
      <c r="GMB553"/>
      <c r="GMC553"/>
      <c r="GMD553"/>
      <c r="GME553"/>
      <c r="GMF553"/>
      <c r="GMG553"/>
      <c r="GMH553"/>
      <c r="GMI553"/>
      <c r="GMJ553"/>
      <c r="GMK553"/>
      <c r="GML553"/>
      <c r="GMM553"/>
      <c r="GMN553"/>
      <c r="GMO553"/>
      <c r="GMP553"/>
      <c r="GMQ553"/>
      <c r="GMR553"/>
      <c r="GMS553"/>
      <c r="GMT553"/>
      <c r="GMU553"/>
      <c r="GMV553"/>
      <c r="GMW553"/>
      <c r="GMX553"/>
      <c r="GMY553"/>
      <c r="GMZ553"/>
      <c r="GNA553"/>
      <c r="GNB553"/>
      <c r="GNC553"/>
      <c r="GND553"/>
      <c r="GNE553"/>
      <c r="GNF553"/>
      <c r="GNG553"/>
      <c r="GNH553"/>
      <c r="GNI553"/>
      <c r="GNJ553"/>
      <c r="GNK553"/>
      <c r="GNL553"/>
      <c r="GNM553"/>
      <c r="GNN553"/>
      <c r="GNO553"/>
      <c r="GNP553"/>
      <c r="GNQ553"/>
      <c r="GNR553"/>
      <c r="GNS553"/>
      <c r="GNT553"/>
      <c r="GNU553"/>
      <c r="GNV553"/>
      <c r="GNW553"/>
      <c r="GNX553"/>
      <c r="GNY553"/>
      <c r="GNZ553"/>
      <c r="GOA553"/>
      <c r="GOB553"/>
      <c r="GOC553"/>
      <c r="GOD553"/>
      <c r="GOE553"/>
      <c r="GOF553"/>
      <c r="GOG553"/>
      <c r="GOH553"/>
      <c r="GOI553"/>
      <c r="GOJ553"/>
      <c r="GOK553"/>
      <c r="GOL553"/>
      <c r="GOM553"/>
      <c r="GON553"/>
      <c r="GOO553"/>
      <c r="GOP553"/>
      <c r="GOQ553"/>
      <c r="GOR553"/>
      <c r="GOS553"/>
      <c r="GOT553"/>
      <c r="GOU553"/>
      <c r="GOV553"/>
      <c r="GOW553"/>
      <c r="GOX553"/>
      <c r="GOY553"/>
      <c r="GOZ553"/>
      <c r="GPA553"/>
      <c r="GPB553"/>
      <c r="GPC553"/>
      <c r="GPD553"/>
      <c r="GPE553"/>
      <c r="GPF553"/>
      <c r="GPG553"/>
      <c r="GPH553"/>
      <c r="GPI553"/>
      <c r="GPJ553"/>
      <c r="GPK553"/>
      <c r="GPL553"/>
      <c r="GPM553"/>
      <c r="GPN553"/>
      <c r="GPO553"/>
      <c r="GPP553"/>
      <c r="GPQ553"/>
      <c r="GPR553"/>
      <c r="GPS553"/>
      <c r="GPT553"/>
      <c r="GPU553"/>
      <c r="GPV553"/>
      <c r="GPW553"/>
      <c r="GPX553"/>
      <c r="GPY553"/>
      <c r="GPZ553"/>
      <c r="GQA553"/>
      <c r="GQB553"/>
      <c r="GQC553"/>
      <c r="GQD553"/>
      <c r="GQE553"/>
      <c r="GQF553"/>
      <c r="GQG553"/>
      <c r="GQH553"/>
      <c r="GQI553"/>
      <c r="GQJ553"/>
      <c r="GQK553"/>
      <c r="GQL553"/>
      <c r="GQM553"/>
      <c r="GQN553"/>
      <c r="GQO553"/>
      <c r="GQP553"/>
      <c r="GQQ553"/>
      <c r="GQR553"/>
      <c r="GQS553"/>
      <c r="GQT553"/>
      <c r="GQU553"/>
      <c r="GQV553"/>
      <c r="GQW553"/>
      <c r="GQX553"/>
      <c r="GQY553"/>
      <c r="GQZ553"/>
      <c r="GRA553"/>
      <c r="GRB553"/>
      <c r="GRC553"/>
      <c r="GRD553"/>
      <c r="GRE553"/>
      <c r="GRF553"/>
      <c r="GRG553"/>
      <c r="GRH553"/>
      <c r="GRI553"/>
      <c r="GRJ553"/>
      <c r="GRK553"/>
      <c r="GRL553"/>
      <c r="GRM553"/>
      <c r="GRN553"/>
      <c r="GRO553"/>
      <c r="GRP553"/>
      <c r="GRQ553"/>
      <c r="GRR553"/>
      <c r="GRS553"/>
      <c r="GRT553"/>
      <c r="GRU553"/>
      <c r="GRV553"/>
      <c r="GRW553"/>
      <c r="GRX553"/>
      <c r="GRY553"/>
      <c r="GRZ553"/>
      <c r="GSA553"/>
      <c r="GSB553"/>
      <c r="GSC553"/>
      <c r="GSD553"/>
      <c r="GSE553"/>
      <c r="GSF553"/>
      <c r="GSG553"/>
      <c r="GSH553"/>
      <c r="GSI553"/>
      <c r="GSJ553"/>
      <c r="GSK553"/>
      <c r="GSL553"/>
      <c r="GSM553"/>
      <c r="GSN553"/>
      <c r="GSO553"/>
      <c r="GSP553"/>
      <c r="GSQ553"/>
      <c r="GSR553"/>
      <c r="GSS553"/>
      <c r="GST553"/>
      <c r="GSU553"/>
      <c r="GSV553"/>
      <c r="GSW553"/>
      <c r="GSX553"/>
      <c r="GSY553"/>
      <c r="GSZ553"/>
      <c r="GTA553"/>
      <c r="GTB553"/>
      <c r="GTC553"/>
      <c r="GTD553"/>
      <c r="GTE553"/>
      <c r="GTF553"/>
      <c r="GTG553"/>
      <c r="GTH553"/>
      <c r="GTI553"/>
      <c r="GTJ553"/>
      <c r="GTK553"/>
      <c r="GTL553"/>
      <c r="GTM553"/>
      <c r="GTN553"/>
      <c r="GTO553"/>
      <c r="GTP553"/>
      <c r="GTQ553"/>
      <c r="GTR553"/>
      <c r="GTS553"/>
      <c r="GTT553"/>
      <c r="GTU553"/>
      <c r="GTV553"/>
      <c r="GTW553"/>
      <c r="GTX553"/>
      <c r="GTY553"/>
      <c r="GTZ553"/>
      <c r="GUA553"/>
      <c r="GUB553"/>
      <c r="GUC553"/>
      <c r="GUD553"/>
      <c r="GUE553"/>
      <c r="GUF553"/>
      <c r="GUG553"/>
      <c r="GUH553"/>
      <c r="GUI553"/>
      <c r="GUJ553"/>
      <c r="GUK553"/>
      <c r="GUL553"/>
      <c r="GUM553"/>
      <c r="GUN553"/>
      <c r="GUO553"/>
      <c r="GUP553"/>
      <c r="GUQ553"/>
      <c r="GUR553"/>
      <c r="GUS553"/>
      <c r="GUT553"/>
      <c r="GUU553"/>
      <c r="GUV553"/>
      <c r="GUW553"/>
      <c r="GUX553"/>
      <c r="GUY553"/>
      <c r="GUZ553"/>
      <c r="GVA553"/>
      <c r="GVB553"/>
      <c r="GVC553"/>
      <c r="GVD553"/>
      <c r="GVE553"/>
      <c r="GVF553"/>
      <c r="GVG553"/>
      <c r="GVH553"/>
      <c r="GVI553"/>
      <c r="GVJ553"/>
      <c r="GVK553"/>
      <c r="GVL553"/>
      <c r="GVM553"/>
      <c r="GVN553"/>
      <c r="GVO553"/>
      <c r="GVP553"/>
      <c r="GVQ553"/>
      <c r="GVR553"/>
      <c r="GVS553"/>
      <c r="GVT553"/>
      <c r="GVU553"/>
      <c r="GVV553"/>
      <c r="GVW553"/>
      <c r="GVX553"/>
      <c r="GVY553"/>
      <c r="GVZ553"/>
      <c r="GWA553"/>
      <c r="GWB553"/>
      <c r="GWC553"/>
      <c r="GWD553"/>
      <c r="GWE553"/>
      <c r="GWF553"/>
      <c r="GWG553"/>
      <c r="GWH553"/>
      <c r="GWI553"/>
      <c r="GWJ553"/>
      <c r="GWK553"/>
      <c r="GWL553"/>
      <c r="GWM553"/>
      <c r="GWN553"/>
      <c r="GWO553"/>
      <c r="GWP553"/>
      <c r="GWQ553"/>
      <c r="GWR553"/>
      <c r="GWS553"/>
      <c r="GWT553"/>
      <c r="GWU553"/>
      <c r="GWV553"/>
      <c r="GWW553"/>
      <c r="GWX553"/>
      <c r="GWY553"/>
      <c r="GWZ553"/>
      <c r="GXA553"/>
      <c r="GXB553"/>
      <c r="GXC553"/>
      <c r="GXD553"/>
      <c r="GXE553"/>
      <c r="GXF553"/>
      <c r="GXG553"/>
      <c r="GXH553"/>
      <c r="GXI553"/>
      <c r="GXJ553"/>
      <c r="GXK553"/>
      <c r="GXL553"/>
      <c r="GXM553"/>
      <c r="GXN553"/>
      <c r="GXO553"/>
      <c r="GXP553"/>
      <c r="GXQ553"/>
      <c r="GXR553"/>
      <c r="GXS553"/>
      <c r="GXT553"/>
      <c r="GXU553"/>
      <c r="GXV553"/>
      <c r="GXW553"/>
      <c r="GXX553"/>
      <c r="GXY553"/>
      <c r="GXZ553"/>
      <c r="GYA553"/>
      <c r="GYB553"/>
      <c r="GYC553"/>
      <c r="GYD553"/>
      <c r="GYE553"/>
      <c r="GYF553"/>
      <c r="GYG553"/>
      <c r="GYH553"/>
      <c r="GYI553"/>
      <c r="GYJ553"/>
      <c r="GYK553"/>
      <c r="GYL553"/>
      <c r="GYM553"/>
      <c r="GYN553"/>
      <c r="GYO553"/>
      <c r="GYP553"/>
      <c r="GYQ553"/>
      <c r="GYR553"/>
      <c r="GYS553"/>
      <c r="GYT553"/>
      <c r="GYU553"/>
      <c r="GYV553"/>
      <c r="GYW553"/>
      <c r="GYX553"/>
      <c r="GYY553"/>
      <c r="GYZ553"/>
      <c r="GZA553"/>
      <c r="GZB553"/>
      <c r="GZC553"/>
      <c r="GZD553"/>
      <c r="GZE553"/>
      <c r="GZF553"/>
      <c r="GZG553"/>
      <c r="GZH553"/>
      <c r="GZI553"/>
      <c r="GZJ553"/>
      <c r="GZK553"/>
      <c r="GZL553"/>
      <c r="GZM553"/>
      <c r="GZN553"/>
      <c r="GZO553"/>
      <c r="GZP553"/>
      <c r="GZQ553"/>
      <c r="GZR553"/>
      <c r="GZS553"/>
      <c r="GZT553"/>
      <c r="GZU553"/>
      <c r="GZV553"/>
      <c r="GZW553"/>
      <c r="GZX553"/>
      <c r="GZY553"/>
      <c r="GZZ553"/>
      <c r="HAA553"/>
      <c r="HAB553"/>
      <c r="HAC553"/>
      <c r="HAD553"/>
      <c r="HAE553"/>
      <c r="HAF553"/>
      <c r="HAG553"/>
      <c r="HAH553"/>
      <c r="HAI553"/>
      <c r="HAJ553"/>
      <c r="HAK553"/>
      <c r="HAL553"/>
      <c r="HAM553"/>
      <c r="HAN553"/>
      <c r="HAO553"/>
      <c r="HAP553"/>
      <c r="HAQ553"/>
      <c r="HAR553"/>
      <c r="HAS553"/>
      <c r="HAT553"/>
      <c r="HAU553"/>
      <c r="HAV553"/>
      <c r="HAW553"/>
      <c r="HAX553"/>
      <c r="HAY553"/>
      <c r="HAZ553"/>
      <c r="HBA553"/>
      <c r="HBB553"/>
      <c r="HBC553"/>
      <c r="HBD553"/>
      <c r="HBE553"/>
      <c r="HBF553"/>
      <c r="HBG553"/>
      <c r="HBH553"/>
      <c r="HBI553"/>
      <c r="HBJ553"/>
      <c r="HBK553"/>
      <c r="HBL553"/>
      <c r="HBM553"/>
      <c r="HBN553"/>
      <c r="HBO553"/>
      <c r="HBP553"/>
      <c r="HBQ553"/>
      <c r="HBR553"/>
      <c r="HBS553"/>
      <c r="HBT553"/>
      <c r="HBU553"/>
      <c r="HBV553"/>
      <c r="HBW553"/>
      <c r="HBX553"/>
      <c r="HBY553"/>
      <c r="HBZ553"/>
      <c r="HCA553"/>
      <c r="HCB553"/>
      <c r="HCC553"/>
      <c r="HCD553"/>
      <c r="HCE553"/>
      <c r="HCF553"/>
      <c r="HCG553"/>
      <c r="HCH553"/>
      <c r="HCI553"/>
      <c r="HCJ553"/>
      <c r="HCK553"/>
      <c r="HCL553"/>
      <c r="HCM553"/>
      <c r="HCN553"/>
      <c r="HCO553"/>
      <c r="HCP553"/>
      <c r="HCQ553"/>
      <c r="HCR553"/>
      <c r="HCS553"/>
      <c r="HCT553"/>
      <c r="HCU553"/>
      <c r="HCV553"/>
      <c r="HCW553"/>
      <c r="HCX553"/>
      <c r="HCY553"/>
      <c r="HCZ553"/>
      <c r="HDA553"/>
      <c r="HDB553"/>
      <c r="HDC553"/>
      <c r="HDD553"/>
      <c r="HDE553"/>
      <c r="HDF553"/>
      <c r="HDG553"/>
      <c r="HDH553"/>
      <c r="HDI553"/>
      <c r="HDJ553"/>
      <c r="HDK553"/>
      <c r="HDL553"/>
      <c r="HDM553"/>
      <c r="HDN553"/>
      <c r="HDO553"/>
      <c r="HDP553"/>
      <c r="HDQ553"/>
      <c r="HDR553"/>
      <c r="HDS553"/>
      <c r="HDT553"/>
      <c r="HDU553"/>
      <c r="HDV553"/>
      <c r="HDW553"/>
      <c r="HDX553"/>
      <c r="HDY553"/>
      <c r="HDZ553"/>
      <c r="HEA553"/>
      <c r="HEB553"/>
      <c r="HEC553"/>
      <c r="HED553"/>
      <c r="HEE553"/>
      <c r="HEF553"/>
      <c r="HEG553"/>
      <c r="HEH553"/>
      <c r="HEI553"/>
      <c r="HEJ553"/>
      <c r="HEK553"/>
      <c r="HEL553"/>
      <c r="HEM553"/>
      <c r="HEN553"/>
      <c r="HEO553"/>
      <c r="HEP553"/>
      <c r="HEQ553"/>
      <c r="HER553"/>
      <c r="HES553"/>
      <c r="HET553"/>
      <c r="HEU553"/>
      <c r="HEV553"/>
      <c r="HEW553"/>
      <c r="HEX553"/>
      <c r="HEY553"/>
      <c r="HEZ553"/>
      <c r="HFA553"/>
      <c r="HFB553"/>
      <c r="HFC553"/>
      <c r="HFD553"/>
      <c r="HFE553"/>
      <c r="HFF553"/>
      <c r="HFG553"/>
      <c r="HFH553"/>
      <c r="HFI553"/>
      <c r="HFJ553"/>
      <c r="HFK553"/>
      <c r="HFL553"/>
      <c r="HFM553"/>
      <c r="HFN553"/>
      <c r="HFO553"/>
      <c r="HFP553"/>
      <c r="HFQ553"/>
      <c r="HFR553"/>
      <c r="HFS553"/>
      <c r="HFT553"/>
      <c r="HFU553"/>
      <c r="HFV553"/>
      <c r="HFW553"/>
      <c r="HFX553"/>
      <c r="HFY553"/>
      <c r="HFZ553"/>
      <c r="HGA553"/>
      <c r="HGB553"/>
      <c r="HGC553"/>
      <c r="HGD553"/>
      <c r="HGE553"/>
      <c r="HGF553"/>
      <c r="HGG553"/>
      <c r="HGH553"/>
      <c r="HGI553"/>
      <c r="HGJ553"/>
      <c r="HGK553"/>
      <c r="HGL553"/>
      <c r="HGM553"/>
      <c r="HGN553"/>
      <c r="HGO553"/>
      <c r="HGP553"/>
      <c r="HGQ553"/>
      <c r="HGR553"/>
      <c r="HGS553"/>
      <c r="HGT553"/>
      <c r="HGU553"/>
      <c r="HGV553"/>
      <c r="HGW553"/>
      <c r="HGX553"/>
      <c r="HGY553"/>
      <c r="HGZ553"/>
      <c r="HHA553"/>
      <c r="HHB553"/>
      <c r="HHC553"/>
      <c r="HHD553"/>
      <c r="HHE553"/>
      <c r="HHF553"/>
      <c r="HHG553"/>
      <c r="HHH553"/>
      <c r="HHI553"/>
      <c r="HHJ553"/>
      <c r="HHK553"/>
      <c r="HHL553"/>
      <c r="HHM553"/>
      <c r="HHN553"/>
      <c r="HHO553"/>
      <c r="HHP553"/>
      <c r="HHQ553"/>
      <c r="HHR553"/>
      <c r="HHS553"/>
      <c r="HHT553"/>
      <c r="HHU553"/>
      <c r="HHV553"/>
      <c r="HHW553"/>
      <c r="HHX553"/>
      <c r="HHY553"/>
      <c r="HHZ553"/>
      <c r="HIA553"/>
      <c r="HIB553"/>
      <c r="HIC553"/>
      <c r="HID553"/>
      <c r="HIE553"/>
      <c r="HIF553"/>
      <c r="HIG553"/>
      <c r="HIH553"/>
      <c r="HII553"/>
      <c r="HIJ553"/>
      <c r="HIK553"/>
      <c r="HIL553"/>
      <c r="HIM553"/>
      <c r="HIN553"/>
      <c r="HIO553"/>
      <c r="HIP553"/>
      <c r="HIQ553"/>
      <c r="HIR553"/>
      <c r="HIS553"/>
      <c r="HIT553"/>
      <c r="HIU553"/>
      <c r="HIV553"/>
      <c r="HIW553"/>
      <c r="HIX553"/>
      <c r="HIY553"/>
      <c r="HIZ553"/>
      <c r="HJA553"/>
      <c r="HJB553"/>
      <c r="HJC553"/>
      <c r="HJD553"/>
      <c r="HJE553"/>
      <c r="HJF553"/>
      <c r="HJG553"/>
      <c r="HJH553"/>
      <c r="HJI553"/>
      <c r="HJJ553"/>
      <c r="HJK553"/>
      <c r="HJL553"/>
      <c r="HJM553"/>
      <c r="HJN553"/>
      <c r="HJO553"/>
      <c r="HJP553"/>
      <c r="HJQ553"/>
      <c r="HJR553"/>
      <c r="HJS553"/>
      <c r="HJT553"/>
      <c r="HJU553"/>
      <c r="HJV553"/>
      <c r="HJW553"/>
      <c r="HJX553"/>
      <c r="HJY553"/>
      <c r="HJZ553"/>
      <c r="HKA553"/>
      <c r="HKB553"/>
      <c r="HKC553"/>
      <c r="HKD553"/>
      <c r="HKE553"/>
      <c r="HKF553"/>
      <c r="HKG553"/>
      <c r="HKH553"/>
      <c r="HKI553"/>
      <c r="HKJ553"/>
      <c r="HKK553"/>
      <c r="HKL553"/>
      <c r="HKM553"/>
      <c r="HKN553"/>
      <c r="HKO553"/>
      <c r="HKP553"/>
      <c r="HKQ553"/>
      <c r="HKR553"/>
      <c r="HKS553"/>
      <c r="HKT553"/>
      <c r="HKU553"/>
      <c r="HKV553"/>
      <c r="HKW553"/>
      <c r="HKX553"/>
      <c r="HKY553"/>
      <c r="HKZ553"/>
      <c r="HLA553"/>
      <c r="HLB553"/>
      <c r="HLC553"/>
      <c r="HLD553"/>
      <c r="HLE553"/>
      <c r="HLF553"/>
      <c r="HLG553"/>
      <c r="HLH553"/>
      <c r="HLI553"/>
      <c r="HLJ553"/>
      <c r="HLK553"/>
      <c r="HLL553"/>
      <c r="HLM553"/>
      <c r="HLN553"/>
      <c r="HLO553"/>
      <c r="HLP553"/>
      <c r="HLQ553"/>
      <c r="HLR553"/>
      <c r="HLS553"/>
      <c r="HLT553"/>
      <c r="HLU553"/>
      <c r="HLV553"/>
      <c r="HLW553"/>
      <c r="HLX553"/>
      <c r="HLY553"/>
      <c r="HLZ553"/>
      <c r="HMA553"/>
      <c r="HMB553"/>
      <c r="HMC553"/>
      <c r="HMD553"/>
      <c r="HME553"/>
      <c r="HMF553"/>
      <c r="HMG553"/>
      <c r="HMH553"/>
      <c r="HMI553"/>
      <c r="HMJ553"/>
      <c r="HMK553"/>
      <c r="HML553"/>
      <c r="HMM553"/>
      <c r="HMN553"/>
      <c r="HMO553"/>
      <c r="HMP553"/>
      <c r="HMQ553"/>
      <c r="HMR553"/>
      <c r="HMS553"/>
      <c r="HMT553"/>
      <c r="HMU553"/>
      <c r="HMV553"/>
      <c r="HMW553"/>
      <c r="HMX553"/>
      <c r="HMY553"/>
      <c r="HMZ553"/>
      <c r="HNA553"/>
      <c r="HNB553"/>
      <c r="HNC553"/>
      <c r="HND553"/>
      <c r="HNE553"/>
      <c r="HNF553"/>
      <c r="HNG553"/>
      <c r="HNH553"/>
      <c r="HNI553"/>
      <c r="HNJ553"/>
      <c r="HNK553"/>
      <c r="HNL553"/>
      <c r="HNM553"/>
      <c r="HNN553"/>
      <c r="HNO553"/>
      <c r="HNP553"/>
      <c r="HNQ553"/>
      <c r="HNR553"/>
      <c r="HNS553"/>
      <c r="HNT553"/>
      <c r="HNU553"/>
      <c r="HNV553"/>
      <c r="HNW553"/>
      <c r="HNX553"/>
      <c r="HNY553"/>
      <c r="HNZ553"/>
      <c r="HOA553"/>
      <c r="HOB553"/>
      <c r="HOC553"/>
      <c r="HOD553"/>
      <c r="HOE553"/>
      <c r="HOF553"/>
      <c r="HOG553"/>
      <c r="HOH553"/>
      <c r="HOI553"/>
      <c r="HOJ553"/>
      <c r="HOK553"/>
      <c r="HOL553"/>
      <c r="HOM553"/>
      <c r="HON553"/>
      <c r="HOO553"/>
      <c r="HOP553"/>
      <c r="HOQ553"/>
      <c r="HOR553"/>
      <c r="HOS553"/>
      <c r="HOT553"/>
      <c r="HOU553"/>
      <c r="HOV553"/>
      <c r="HOW553"/>
      <c r="HOX553"/>
      <c r="HOY553"/>
      <c r="HOZ553"/>
      <c r="HPA553"/>
      <c r="HPB553"/>
      <c r="HPC553"/>
      <c r="HPD553"/>
      <c r="HPE553"/>
      <c r="HPF553"/>
      <c r="HPG553"/>
      <c r="HPH553"/>
      <c r="HPI553"/>
      <c r="HPJ553"/>
      <c r="HPK553"/>
      <c r="HPL553"/>
      <c r="HPM553"/>
      <c r="HPN553"/>
      <c r="HPO553"/>
      <c r="HPP553"/>
      <c r="HPQ553"/>
      <c r="HPR553"/>
      <c r="HPS553"/>
      <c r="HPT553"/>
      <c r="HPU553"/>
      <c r="HPV553"/>
      <c r="HPW553"/>
      <c r="HPX553"/>
      <c r="HPY553"/>
      <c r="HPZ553"/>
      <c r="HQA553"/>
      <c r="HQB553"/>
      <c r="HQC553"/>
      <c r="HQD553"/>
      <c r="HQE553"/>
      <c r="HQF553"/>
      <c r="HQG553"/>
      <c r="HQH553"/>
      <c r="HQI553"/>
      <c r="HQJ553"/>
      <c r="HQK553"/>
      <c r="HQL553"/>
      <c r="HQM553"/>
      <c r="HQN553"/>
      <c r="HQO553"/>
      <c r="HQP553"/>
      <c r="HQQ553"/>
      <c r="HQR553"/>
      <c r="HQS553"/>
      <c r="HQT553"/>
      <c r="HQU553"/>
      <c r="HQV553"/>
      <c r="HQW553"/>
      <c r="HQX553"/>
      <c r="HQY553"/>
      <c r="HQZ553"/>
      <c r="HRA553"/>
      <c r="HRB553"/>
      <c r="HRC553"/>
      <c r="HRD553"/>
      <c r="HRE553"/>
      <c r="HRF553"/>
      <c r="HRG553"/>
      <c r="HRH553"/>
      <c r="HRI553"/>
      <c r="HRJ553"/>
      <c r="HRK553"/>
      <c r="HRL553"/>
      <c r="HRM553"/>
      <c r="HRN553"/>
      <c r="HRO553"/>
      <c r="HRP553"/>
      <c r="HRQ553"/>
      <c r="HRR553"/>
      <c r="HRS553"/>
      <c r="HRT553"/>
      <c r="HRU553"/>
      <c r="HRV553"/>
      <c r="HRW553"/>
      <c r="HRX553"/>
      <c r="HRY553"/>
      <c r="HRZ553"/>
      <c r="HSA553"/>
      <c r="HSB553"/>
      <c r="HSC553"/>
      <c r="HSD553"/>
      <c r="HSE553"/>
      <c r="HSF553"/>
      <c r="HSG553"/>
      <c r="HSH553"/>
      <c r="HSI553"/>
      <c r="HSJ553"/>
      <c r="HSK553"/>
      <c r="HSL553"/>
      <c r="HSM553"/>
      <c r="HSN553"/>
      <c r="HSO553"/>
      <c r="HSP553"/>
      <c r="HSQ553"/>
      <c r="HSR553"/>
      <c r="HSS553"/>
      <c r="HST553"/>
      <c r="HSU553"/>
      <c r="HSV553"/>
      <c r="HSW553"/>
      <c r="HSX553"/>
      <c r="HSY553"/>
      <c r="HSZ553"/>
      <c r="HTA553"/>
      <c r="HTB553"/>
      <c r="HTC553"/>
      <c r="HTD553"/>
      <c r="HTE553"/>
      <c r="HTF553"/>
      <c r="HTG553"/>
      <c r="HTH553"/>
      <c r="HTI553"/>
      <c r="HTJ553"/>
      <c r="HTK553"/>
      <c r="HTL553"/>
      <c r="HTM553"/>
      <c r="HTN553"/>
      <c r="HTO553"/>
      <c r="HTP553"/>
      <c r="HTQ553"/>
      <c r="HTR553"/>
      <c r="HTS553"/>
      <c r="HTT553"/>
      <c r="HTU553"/>
      <c r="HTV553"/>
      <c r="HTW553"/>
      <c r="HTX553"/>
      <c r="HTY553"/>
      <c r="HTZ553"/>
      <c r="HUA553"/>
      <c r="HUB553"/>
      <c r="HUC553"/>
      <c r="HUD553"/>
      <c r="HUE553"/>
      <c r="HUF553"/>
      <c r="HUG553"/>
      <c r="HUH553"/>
      <c r="HUI553"/>
      <c r="HUJ553"/>
      <c r="HUK553"/>
      <c r="HUL553"/>
      <c r="HUM553"/>
      <c r="HUN553"/>
      <c r="HUO553"/>
      <c r="HUP553"/>
      <c r="HUQ553"/>
      <c r="HUR553"/>
      <c r="HUS553"/>
      <c r="HUT553"/>
      <c r="HUU553"/>
      <c r="HUV553"/>
      <c r="HUW553"/>
      <c r="HUX553"/>
      <c r="HUY553"/>
      <c r="HUZ553"/>
      <c r="HVA553"/>
      <c r="HVB553"/>
      <c r="HVC553"/>
      <c r="HVD553"/>
      <c r="HVE553"/>
      <c r="HVF553"/>
      <c r="HVG553"/>
      <c r="HVH553"/>
      <c r="HVI553"/>
      <c r="HVJ553"/>
      <c r="HVK553"/>
      <c r="HVL553"/>
      <c r="HVM553"/>
      <c r="HVN553"/>
      <c r="HVO553"/>
      <c r="HVP553"/>
      <c r="HVQ553"/>
      <c r="HVR553"/>
      <c r="HVS553"/>
      <c r="HVT553"/>
      <c r="HVU553"/>
      <c r="HVV553"/>
      <c r="HVW553"/>
      <c r="HVX553"/>
      <c r="HVY553"/>
      <c r="HVZ553"/>
      <c r="HWA553"/>
      <c r="HWB553"/>
      <c r="HWC553"/>
      <c r="HWD553"/>
      <c r="HWE553"/>
      <c r="HWF553"/>
      <c r="HWG553"/>
      <c r="HWH553"/>
      <c r="HWI553"/>
      <c r="HWJ553"/>
      <c r="HWK553"/>
      <c r="HWL553"/>
      <c r="HWM553"/>
      <c r="HWN553"/>
      <c r="HWO553"/>
      <c r="HWP553"/>
      <c r="HWQ553"/>
      <c r="HWR553"/>
      <c r="HWS553"/>
      <c r="HWT553"/>
      <c r="HWU553"/>
      <c r="HWV553"/>
      <c r="HWW553"/>
      <c r="HWX553"/>
      <c r="HWY553"/>
      <c r="HWZ553"/>
      <c r="HXA553"/>
      <c r="HXB553"/>
      <c r="HXC553"/>
      <c r="HXD553"/>
      <c r="HXE553"/>
      <c r="HXF553"/>
      <c r="HXG553"/>
      <c r="HXH553"/>
      <c r="HXI553"/>
      <c r="HXJ553"/>
      <c r="HXK553"/>
      <c r="HXL553"/>
      <c r="HXM553"/>
      <c r="HXN553"/>
      <c r="HXO553"/>
      <c r="HXP553"/>
      <c r="HXQ553"/>
      <c r="HXR553"/>
      <c r="HXS553"/>
      <c r="HXT553"/>
      <c r="HXU553"/>
      <c r="HXV553"/>
      <c r="HXW553"/>
      <c r="HXX553"/>
      <c r="HXY553"/>
      <c r="HXZ553"/>
      <c r="HYA553"/>
      <c r="HYB553"/>
      <c r="HYC553"/>
      <c r="HYD553"/>
      <c r="HYE553"/>
      <c r="HYF553"/>
      <c r="HYG553"/>
      <c r="HYH553"/>
      <c r="HYI553"/>
      <c r="HYJ553"/>
      <c r="HYK553"/>
      <c r="HYL553"/>
      <c r="HYM553"/>
      <c r="HYN553"/>
      <c r="HYO553"/>
      <c r="HYP553"/>
      <c r="HYQ553"/>
      <c r="HYR553"/>
      <c r="HYS553"/>
      <c r="HYT553"/>
      <c r="HYU553"/>
      <c r="HYV553"/>
      <c r="HYW553"/>
      <c r="HYX553"/>
      <c r="HYY553"/>
      <c r="HYZ553"/>
      <c r="HZA553"/>
      <c r="HZB553"/>
      <c r="HZC553"/>
      <c r="HZD553"/>
      <c r="HZE553"/>
      <c r="HZF553"/>
      <c r="HZG553"/>
      <c r="HZH553"/>
      <c r="HZI553"/>
      <c r="HZJ553"/>
      <c r="HZK553"/>
      <c r="HZL553"/>
      <c r="HZM553"/>
      <c r="HZN553"/>
      <c r="HZO553"/>
      <c r="HZP553"/>
      <c r="HZQ553"/>
      <c r="HZR553"/>
      <c r="HZS553"/>
      <c r="HZT553"/>
      <c r="HZU553"/>
      <c r="HZV553"/>
      <c r="HZW553"/>
      <c r="HZX553"/>
      <c r="HZY553"/>
      <c r="HZZ553"/>
      <c r="IAA553"/>
      <c r="IAB553"/>
      <c r="IAC553"/>
      <c r="IAD553"/>
      <c r="IAE553"/>
      <c r="IAF553"/>
      <c r="IAG553"/>
      <c r="IAH553"/>
      <c r="IAI553"/>
      <c r="IAJ553"/>
      <c r="IAK553"/>
      <c r="IAL553"/>
      <c r="IAM553"/>
      <c r="IAN553"/>
      <c r="IAO553"/>
      <c r="IAP553"/>
      <c r="IAQ553"/>
      <c r="IAR553"/>
      <c r="IAS553"/>
      <c r="IAT553"/>
      <c r="IAU553"/>
      <c r="IAV553"/>
      <c r="IAW553"/>
      <c r="IAX553"/>
      <c r="IAY553"/>
      <c r="IAZ553"/>
      <c r="IBA553"/>
      <c r="IBB553"/>
      <c r="IBC553"/>
      <c r="IBD553"/>
      <c r="IBE553"/>
      <c r="IBF553"/>
      <c r="IBG553"/>
      <c r="IBH553"/>
      <c r="IBI553"/>
      <c r="IBJ553"/>
      <c r="IBK553"/>
      <c r="IBL553"/>
      <c r="IBM553"/>
      <c r="IBN553"/>
      <c r="IBO553"/>
      <c r="IBP553"/>
      <c r="IBQ553"/>
      <c r="IBR553"/>
      <c r="IBS553"/>
      <c r="IBT553"/>
      <c r="IBU553"/>
      <c r="IBV553"/>
      <c r="IBW553"/>
      <c r="IBX553"/>
      <c r="IBY553"/>
      <c r="IBZ553"/>
      <c r="ICA553"/>
      <c r="ICB553"/>
      <c r="ICC553"/>
      <c r="ICD553"/>
      <c r="ICE553"/>
      <c r="ICF553"/>
      <c r="ICG553"/>
      <c r="ICH553"/>
      <c r="ICI553"/>
      <c r="ICJ553"/>
      <c r="ICK553"/>
      <c r="ICL553"/>
      <c r="ICM553"/>
      <c r="ICN553"/>
      <c r="ICO553"/>
      <c r="ICP553"/>
      <c r="ICQ553"/>
      <c r="ICR553"/>
      <c r="ICS553"/>
      <c r="ICT553"/>
      <c r="ICU553"/>
      <c r="ICV553"/>
      <c r="ICW553"/>
      <c r="ICX553"/>
      <c r="ICY553"/>
      <c r="ICZ553"/>
      <c r="IDA553"/>
      <c r="IDB553"/>
      <c r="IDC553"/>
      <c r="IDD553"/>
      <c r="IDE553"/>
      <c r="IDF553"/>
      <c r="IDG553"/>
      <c r="IDH553"/>
      <c r="IDI553"/>
      <c r="IDJ553"/>
      <c r="IDK553"/>
      <c r="IDL553"/>
      <c r="IDM553"/>
      <c r="IDN553"/>
      <c r="IDO553"/>
      <c r="IDP553"/>
      <c r="IDQ553"/>
      <c r="IDR553"/>
      <c r="IDS553"/>
      <c r="IDT553"/>
      <c r="IDU553"/>
      <c r="IDV553"/>
      <c r="IDW553"/>
      <c r="IDX553"/>
      <c r="IDY553"/>
      <c r="IDZ553"/>
      <c r="IEA553"/>
      <c r="IEB553"/>
      <c r="IEC553"/>
      <c r="IED553"/>
      <c r="IEE553"/>
      <c r="IEF553"/>
      <c r="IEG553"/>
      <c r="IEH553"/>
      <c r="IEI553"/>
      <c r="IEJ553"/>
      <c r="IEK553"/>
      <c r="IEL553"/>
      <c r="IEM553"/>
      <c r="IEN553"/>
      <c r="IEO553"/>
      <c r="IEP553"/>
      <c r="IEQ553"/>
      <c r="IER553"/>
      <c r="IES553"/>
      <c r="IET553"/>
      <c r="IEU553"/>
      <c r="IEV553"/>
      <c r="IEW553"/>
      <c r="IEX553"/>
      <c r="IEY553"/>
      <c r="IEZ553"/>
      <c r="IFA553"/>
      <c r="IFB553"/>
      <c r="IFC553"/>
      <c r="IFD553"/>
      <c r="IFE553"/>
      <c r="IFF553"/>
      <c r="IFG553"/>
      <c r="IFH553"/>
      <c r="IFI553"/>
      <c r="IFJ553"/>
      <c r="IFK553"/>
      <c r="IFL553"/>
      <c r="IFM553"/>
      <c r="IFN553"/>
      <c r="IFO553"/>
      <c r="IFP553"/>
      <c r="IFQ553"/>
      <c r="IFR553"/>
      <c r="IFS553"/>
      <c r="IFT553"/>
      <c r="IFU553"/>
      <c r="IFV553"/>
      <c r="IFW553"/>
      <c r="IFX553"/>
      <c r="IFY553"/>
      <c r="IFZ553"/>
      <c r="IGA553"/>
      <c r="IGB553"/>
      <c r="IGC553"/>
      <c r="IGD553"/>
      <c r="IGE553"/>
      <c r="IGF553"/>
      <c r="IGG553"/>
      <c r="IGH553"/>
      <c r="IGI553"/>
      <c r="IGJ553"/>
      <c r="IGK553"/>
      <c r="IGL553"/>
      <c r="IGM553"/>
      <c r="IGN553"/>
      <c r="IGO553"/>
      <c r="IGP553"/>
      <c r="IGQ553"/>
      <c r="IGR553"/>
      <c r="IGS553"/>
      <c r="IGT553"/>
      <c r="IGU553"/>
      <c r="IGV553"/>
      <c r="IGW553"/>
      <c r="IGX553"/>
      <c r="IGY553"/>
      <c r="IGZ553"/>
      <c r="IHA553"/>
      <c r="IHB553"/>
      <c r="IHC553"/>
      <c r="IHD553"/>
      <c r="IHE553"/>
      <c r="IHF553"/>
      <c r="IHG553"/>
      <c r="IHH553"/>
      <c r="IHI553"/>
      <c r="IHJ553"/>
      <c r="IHK553"/>
      <c r="IHL553"/>
      <c r="IHM553"/>
      <c r="IHN553"/>
      <c r="IHO553"/>
      <c r="IHP553"/>
      <c r="IHQ553"/>
      <c r="IHR553"/>
      <c r="IHS553"/>
      <c r="IHT553"/>
      <c r="IHU553"/>
      <c r="IHV553"/>
      <c r="IHW553"/>
      <c r="IHX553"/>
      <c r="IHY553"/>
      <c r="IHZ553"/>
      <c r="IIA553"/>
      <c r="IIB553"/>
      <c r="IIC553"/>
      <c r="IID553"/>
      <c r="IIE553"/>
      <c r="IIF553"/>
      <c r="IIG553"/>
      <c r="IIH553"/>
      <c r="III553"/>
      <c r="IIJ553"/>
      <c r="IIK553"/>
      <c r="IIL553"/>
      <c r="IIM553"/>
      <c r="IIN553"/>
      <c r="IIO553"/>
      <c r="IIP553"/>
      <c r="IIQ553"/>
      <c r="IIR553"/>
      <c r="IIS553"/>
      <c r="IIT553"/>
      <c r="IIU553"/>
      <c r="IIV553"/>
      <c r="IIW553"/>
      <c r="IIX553"/>
      <c r="IIY553"/>
      <c r="IIZ553"/>
      <c r="IJA553"/>
      <c r="IJB553"/>
      <c r="IJC553"/>
      <c r="IJD553"/>
      <c r="IJE553"/>
      <c r="IJF553"/>
      <c r="IJG553"/>
      <c r="IJH553"/>
      <c r="IJI553"/>
      <c r="IJJ553"/>
      <c r="IJK553"/>
      <c r="IJL553"/>
      <c r="IJM553"/>
      <c r="IJN553"/>
      <c r="IJO553"/>
      <c r="IJP553"/>
      <c r="IJQ553"/>
      <c r="IJR553"/>
      <c r="IJS553"/>
      <c r="IJT553"/>
      <c r="IJU553"/>
      <c r="IJV553"/>
      <c r="IJW553"/>
      <c r="IJX553"/>
      <c r="IJY553"/>
      <c r="IJZ553"/>
      <c r="IKA553"/>
      <c r="IKB553"/>
      <c r="IKC553"/>
      <c r="IKD553"/>
      <c r="IKE553"/>
      <c r="IKF553"/>
      <c r="IKG553"/>
      <c r="IKH553"/>
      <c r="IKI553"/>
      <c r="IKJ553"/>
      <c r="IKK553"/>
      <c r="IKL553"/>
      <c r="IKM553"/>
      <c r="IKN553"/>
      <c r="IKO553"/>
      <c r="IKP553"/>
      <c r="IKQ553"/>
      <c r="IKR553"/>
      <c r="IKS553"/>
      <c r="IKT553"/>
      <c r="IKU553"/>
      <c r="IKV553"/>
      <c r="IKW553"/>
      <c r="IKX553"/>
      <c r="IKY553"/>
      <c r="IKZ553"/>
      <c r="ILA553"/>
      <c r="ILB553"/>
      <c r="ILC553"/>
      <c r="ILD553"/>
      <c r="ILE553"/>
      <c r="ILF553"/>
      <c r="ILG553"/>
      <c r="ILH553"/>
      <c r="ILI553"/>
      <c r="ILJ553"/>
      <c r="ILK553"/>
      <c r="ILL553"/>
      <c r="ILM553"/>
      <c r="ILN553"/>
      <c r="ILO553"/>
      <c r="ILP553"/>
      <c r="ILQ553"/>
      <c r="ILR553"/>
      <c r="ILS553"/>
      <c r="ILT553"/>
      <c r="ILU553"/>
      <c r="ILV553"/>
      <c r="ILW553"/>
      <c r="ILX553"/>
      <c r="ILY553"/>
      <c r="ILZ553"/>
      <c r="IMA553"/>
      <c r="IMB553"/>
      <c r="IMC553"/>
      <c r="IMD553"/>
      <c r="IME553"/>
      <c r="IMF553"/>
      <c r="IMG553"/>
      <c r="IMH553"/>
      <c r="IMI553"/>
      <c r="IMJ553"/>
      <c r="IMK553"/>
      <c r="IML553"/>
      <c r="IMM553"/>
      <c r="IMN553"/>
      <c r="IMO553"/>
      <c r="IMP553"/>
      <c r="IMQ553"/>
      <c r="IMR553"/>
      <c r="IMS553"/>
      <c r="IMT553"/>
      <c r="IMU553"/>
      <c r="IMV553"/>
      <c r="IMW553"/>
      <c r="IMX553"/>
      <c r="IMY553"/>
      <c r="IMZ553"/>
      <c r="INA553"/>
      <c r="INB553"/>
      <c r="INC553"/>
      <c r="IND553"/>
      <c r="INE553"/>
      <c r="INF553"/>
      <c r="ING553"/>
      <c r="INH553"/>
      <c r="INI553"/>
      <c r="INJ553"/>
      <c r="INK553"/>
      <c r="INL553"/>
      <c r="INM553"/>
      <c r="INN553"/>
      <c r="INO553"/>
      <c r="INP553"/>
      <c r="INQ553"/>
      <c r="INR553"/>
      <c r="INS553"/>
      <c r="INT553"/>
      <c r="INU553"/>
      <c r="INV553"/>
      <c r="INW553"/>
      <c r="INX553"/>
      <c r="INY553"/>
      <c r="INZ553"/>
      <c r="IOA553"/>
      <c r="IOB553"/>
      <c r="IOC553"/>
      <c r="IOD553"/>
      <c r="IOE553"/>
      <c r="IOF553"/>
      <c r="IOG553"/>
      <c r="IOH553"/>
      <c r="IOI553"/>
      <c r="IOJ553"/>
      <c r="IOK553"/>
      <c r="IOL553"/>
      <c r="IOM553"/>
      <c r="ION553"/>
      <c r="IOO553"/>
      <c r="IOP553"/>
      <c r="IOQ553"/>
      <c r="IOR553"/>
      <c r="IOS553"/>
      <c r="IOT553"/>
      <c r="IOU553"/>
      <c r="IOV553"/>
      <c r="IOW553"/>
      <c r="IOX553"/>
      <c r="IOY553"/>
      <c r="IOZ553"/>
      <c r="IPA553"/>
      <c r="IPB553"/>
      <c r="IPC553"/>
      <c r="IPD553"/>
      <c r="IPE553"/>
      <c r="IPF553"/>
      <c r="IPG553"/>
      <c r="IPH553"/>
      <c r="IPI553"/>
      <c r="IPJ553"/>
      <c r="IPK553"/>
      <c r="IPL553"/>
      <c r="IPM553"/>
      <c r="IPN553"/>
      <c r="IPO553"/>
      <c r="IPP553"/>
      <c r="IPQ553"/>
      <c r="IPR553"/>
      <c r="IPS553"/>
      <c r="IPT553"/>
      <c r="IPU553"/>
      <c r="IPV553"/>
      <c r="IPW553"/>
      <c r="IPX553"/>
      <c r="IPY553"/>
      <c r="IPZ553"/>
      <c r="IQA553"/>
      <c r="IQB553"/>
      <c r="IQC553"/>
      <c r="IQD553"/>
      <c r="IQE553"/>
      <c r="IQF553"/>
      <c r="IQG553"/>
      <c r="IQH553"/>
      <c r="IQI553"/>
      <c r="IQJ553"/>
      <c r="IQK553"/>
      <c r="IQL553"/>
      <c r="IQM553"/>
      <c r="IQN553"/>
      <c r="IQO553"/>
      <c r="IQP553"/>
      <c r="IQQ553"/>
      <c r="IQR553"/>
      <c r="IQS553"/>
      <c r="IQT553"/>
      <c r="IQU553"/>
      <c r="IQV553"/>
      <c r="IQW553"/>
      <c r="IQX553"/>
      <c r="IQY553"/>
      <c r="IQZ553"/>
      <c r="IRA553"/>
      <c r="IRB553"/>
      <c r="IRC553"/>
      <c r="IRD553"/>
      <c r="IRE553"/>
      <c r="IRF553"/>
      <c r="IRG553"/>
      <c r="IRH553"/>
      <c r="IRI553"/>
      <c r="IRJ553"/>
      <c r="IRK553"/>
      <c r="IRL553"/>
      <c r="IRM553"/>
      <c r="IRN553"/>
      <c r="IRO553"/>
      <c r="IRP553"/>
      <c r="IRQ553"/>
      <c r="IRR553"/>
      <c r="IRS553"/>
      <c r="IRT553"/>
      <c r="IRU553"/>
      <c r="IRV553"/>
      <c r="IRW553"/>
      <c r="IRX553"/>
      <c r="IRY553"/>
      <c r="IRZ553"/>
      <c r="ISA553"/>
      <c r="ISB553"/>
      <c r="ISC553"/>
      <c r="ISD553"/>
      <c r="ISE553"/>
      <c r="ISF553"/>
      <c r="ISG553"/>
      <c r="ISH553"/>
      <c r="ISI553"/>
      <c r="ISJ553"/>
      <c r="ISK553"/>
      <c r="ISL553"/>
      <c r="ISM553"/>
      <c r="ISN553"/>
      <c r="ISO553"/>
      <c r="ISP553"/>
      <c r="ISQ553"/>
      <c r="ISR553"/>
      <c r="ISS553"/>
      <c r="IST553"/>
      <c r="ISU553"/>
      <c r="ISV553"/>
      <c r="ISW553"/>
      <c r="ISX553"/>
      <c r="ISY553"/>
      <c r="ISZ553"/>
      <c r="ITA553"/>
      <c r="ITB553"/>
      <c r="ITC553"/>
      <c r="ITD553"/>
      <c r="ITE553"/>
      <c r="ITF553"/>
      <c r="ITG553"/>
      <c r="ITH553"/>
      <c r="ITI553"/>
      <c r="ITJ553"/>
      <c r="ITK553"/>
      <c r="ITL553"/>
      <c r="ITM553"/>
      <c r="ITN553"/>
      <c r="ITO553"/>
      <c r="ITP553"/>
      <c r="ITQ553"/>
      <c r="ITR553"/>
      <c r="ITS553"/>
      <c r="ITT553"/>
      <c r="ITU553"/>
      <c r="ITV553"/>
      <c r="ITW553"/>
      <c r="ITX553"/>
      <c r="ITY553"/>
      <c r="ITZ553"/>
      <c r="IUA553"/>
      <c r="IUB553"/>
      <c r="IUC553"/>
      <c r="IUD553"/>
      <c r="IUE553"/>
      <c r="IUF553"/>
      <c r="IUG553"/>
      <c r="IUH553"/>
      <c r="IUI553"/>
      <c r="IUJ553"/>
      <c r="IUK553"/>
      <c r="IUL553"/>
      <c r="IUM553"/>
      <c r="IUN553"/>
      <c r="IUO553"/>
      <c r="IUP553"/>
      <c r="IUQ553"/>
      <c r="IUR553"/>
      <c r="IUS553"/>
      <c r="IUT553"/>
      <c r="IUU553"/>
      <c r="IUV553"/>
      <c r="IUW553"/>
      <c r="IUX553"/>
      <c r="IUY553"/>
      <c r="IUZ553"/>
      <c r="IVA553"/>
      <c r="IVB553"/>
      <c r="IVC553"/>
      <c r="IVD553"/>
      <c r="IVE553"/>
      <c r="IVF553"/>
      <c r="IVG553"/>
      <c r="IVH553"/>
      <c r="IVI553"/>
      <c r="IVJ553"/>
      <c r="IVK553"/>
      <c r="IVL553"/>
      <c r="IVM553"/>
      <c r="IVN553"/>
      <c r="IVO553"/>
      <c r="IVP553"/>
      <c r="IVQ553"/>
      <c r="IVR553"/>
      <c r="IVS553"/>
      <c r="IVT553"/>
      <c r="IVU553"/>
      <c r="IVV553"/>
      <c r="IVW553"/>
      <c r="IVX553"/>
      <c r="IVY553"/>
      <c r="IVZ553"/>
      <c r="IWA553"/>
      <c r="IWB553"/>
      <c r="IWC553"/>
      <c r="IWD553"/>
      <c r="IWE553"/>
      <c r="IWF553"/>
      <c r="IWG553"/>
      <c r="IWH553"/>
      <c r="IWI553"/>
      <c r="IWJ553"/>
      <c r="IWK553"/>
      <c r="IWL553"/>
      <c r="IWM553"/>
      <c r="IWN553"/>
      <c r="IWO553"/>
      <c r="IWP553"/>
      <c r="IWQ553"/>
      <c r="IWR553"/>
      <c r="IWS553"/>
      <c r="IWT553"/>
      <c r="IWU553"/>
      <c r="IWV553"/>
      <c r="IWW553"/>
      <c r="IWX553"/>
      <c r="IWY553"/>
      <c r="IWZ553"/>
      <c r="IXA553"/>
      <c r="IXB553"/>
      <c r="IXC553"/>
      <c r="IXD553"/>
      <c r="IXE553"/>
      <c r="IXF553"/>
      <c r="IXG553"/>
      <c r="IXH553"/>
      <c r="IXI553"/>
      <c r="IXJ553"/>
      <c r="IXK553"/>
      <c r="IXL553"/>
      <c r="IXM553"/>
      <c r="IXN553"/>
      <c r="IXO553"/>
      <c r="IXP553"/>
      <c r="IXQ553"/>
      <c r="IXR553"/>
      <c r="IXS553"/>
      <c r="IXT553"/>
      <c r="IXU553"/>
      <c r="IXV553"/>
      <c r="IXW553"/>
      <c r="IXX553"/>
      <c r="IXY553"/>
      <c r="IXZ553"/>
      <c r="IYA553"/>
      <c r="IYB553"/>
      <c r="IYC553"/>
      <c r="IYD553"/>
      <c r="IYE553"/>
      <c r="IYF553"/>
      <c r="IYG553"/>
      <c r="IYH553"/>
      <c r="IYI553"/>
      <c r="IYJ553"/>
      <c r="IYK553"/>
      <c r="IYL553"/>
      <c r="IYM553"/>
      <c r="IYN553"/>
      <c r="IYO553"/>
      <c r="IYP553"/>
      <c r="IYQ553"/>
      <c r="IYR553"/>
      <c r="IYS553"/>
      <c r="IYT553"/>
      <c r="IYU553"/>
      <c r="IYV553"/>
      <c r="IYW553"/>
      <c r="IYX553"/>
      <c r="IYY553"/>
      <c r="IYZ553"/>
      <c r="IZA553"/>
      <c r="IZB553"/>
      <c r="IZC553"/>
      <c r="IZD553"/>
      <c r="IZE553"/>
      <c r="IZF553"/>
      <c r="IZG553"/>
      <c r="IZH553"/>
      <c r="IZI553"/>
      <c r="IZJ553"/>
      <c r="IZK553"/>
      <c r="IZL553"/>
      <c r="IZM553"/>
      <c r="IZN553"/>
      <c r="IZO553"/>
      <c r="IZP553"/>
      <c r="IZQ553"/>
      <c r="IZR553"/>
      <c r="IZS553"/>
      <c r="IZT553"/>
      <c r="IZU553"/>
      <c r="IZV553"/>
      <c r="IZW553"/>
      <c r="IZX553"/>
      <c r="IZY553"/>
      <c r="IZZ553"/>
      <c r="JAA553"/>
      <c r="JAB553"/>
      <c r="JAC553"/>
      <c r="JAD553"/>
      <c r="JAE553"/>
      <c r="JAF553"/>
      <c r="JAG553"/>
      <c r="JAH553"/>
      <c r="JAI553"/>
      <c r="JAJ553"/>
      <c r="JAK553"/>
      <c r="JAL553"/>
      <c r="JAM553"/>
      <c r="JAN553"/>
      <c r="JAO553"/>
      <c r="JAP553"/>
      <c r="JAQ553"/>
      <c r="JAR553"/>
      <c r="JAS553"/>
      <c r="JAT553"/>
      <c r="JAU553"/>
      <c r="JAV553"/>
      <c r="JAW553"/>
      <c r="JAX553"/>
      <c r="JAY553"/>
      <c r="JAZ553"/>
      <c r="JBA553"/>
      <c r="JBB553"/>
      <c r="JBC553"/>
      <c r="JBD553"/>
      <c r="JBE553"/>
      <c r="JBF553"/>
      <c r="JBG553"/>
      <c r="JBH553"/>
      <c r="JBI553"/>
      <c r="JBJ553"/>
      <c r="JBK553"/>
      <c r="JBL553"/>
      <c r="JBM553"/>
      <c r="JBN553"/>
      <c r="JBO553"/>
      <c r="JBP553"/>
      <c r="JBQ553"/>
      <c r="JBR553"/>
      <c r="JBS553"/>
      <c r="JBT553"/>
      <c r="JBU553"/>
      <c r="JBV553"/>
      <c r="JBW553"/>
      <c r="JBX553"/>
      <c r="JBY553"/>
      <c r="JBZ553"/>
      <c r="JCA553"/>
      <c r="JCB553"/>
      <c r="JCC553"/>
      <c r="JCD553"/>
      <c r="JCE553"/>
      <c r="JCF553"/>
      <c r="JCG553"/>
      <c r="JCH553"/>
      <c r="JCI553"/>
      <c r="JCJ553"/>
      <c r="JCK553"/>
      <c r="JCL553"/>
      <c r="JCM553"/>
      <c r="JCN553"/>
      <c r="JCO553"/>
      <c r="JCP553"/>
      <c r="JCQ553"/>
      <c r="JCR553"/>
      <c r="JCS553"/>
      <c r="JCT553"/>
      <c r="JCU553"/>
      <c r="JCV553"/>
      <c r="JCW553"/>
      <c r="JCX553"/>
      <c r="JCY553"/>
      <c r="JCZ553"/>
      <c r="JDA553"/>
      <c r="JDB553"/>
      <c r="JDC553"/>
      <c r="JDD553"/>
      <c r="JDE553"/>
      <c r="JDF553"/>
      <c r="JDG553"/>
      <c r="JDH553"/>
      <c r="JDI553"/>
      <c r="JDJ553"/>
      <c r="JDK553"/>
      <c r="JDL553"/>
      <c r="JDM553"/>
      <c r="JDN553"/>
      <c r="JDO553"/>
      <c r="JDP553"/>
      <c r="JDQ553"/>
      <c r="JDR553"/>
      <c r="JDS553"/>
      <c r="JDT553"/>
      <c r="JDU553"/>
      <c r="JDV553"/>
      <c r="JDW553"/>
      <c r="JDX553"/>
      <c r="JDY553"/>
      <c r="JDZ553"/>
      <c r="JEA553"/>
      <c r="JEB553"/>
      <c r="JEC553"/>
      <c r="JED553"/>
      <c r="JEE553"/>
      <c r="JEF553"/>
      <c r="JEG553"/>
      <c r="JEH553"/>
      <c r="JEI553"/>
      <c r="JEJ553"/>
      <c r="JEK553"/>
      <c r="JEL553"/>
      <c r="JEM553"/>
      <c r="JEN553"/>
      <c r="JEO553"/>
      <c r="JEP553"/>
      <c r="JEQ553"/>
      <c r="JER553"/>
      <c r="JES553"/>
      <c r="JET553"/>
      <c r="JEU553"/>
      <c r="JEV553"/>
      <c r="JEW553"/>
      <c r="JEX553"/>
      <c r="JEY553"/>
      <c r="JEZ553"/>
      <c r="JFA553"/>
      <c r="JFB553"/>
      <c r="JFC553"/>
      <c r="JFD553"/>
      <c r="JFE553"/>
      <c r="JFF553"/>
      <c r="JFG553"/>
      <c r="JFH553"/>
      <c r="JFI553"/>
      <c r="JFJ553"/>
      <c r="JFK553"/>
      <c r="JFL553"/>
      <c r="JFM553"/>
      <c r="JFN553"/>
      <c r="JFO553"/>
      <c r="JFP553"/>
      <c r="JFQ553"/>
      <c r="JFR553"/>
      <c r="JFS553"/>
      <c r="JFT553"/>
      <c r="JFU553"/>
      <c r="JFV553"/>
      <c r="JFW553"/>
      <c r="JFX553"/>
      <c r="JFY553"/>
      <c r="JFZ553"/>
      <c r="JGA553"/>
      <c r="JGB553"/>
      <c r="JGC553"/>
      <c r="JGD553"/>
      <c r="JGE553"/>
      <c r="JGF553"/>
      <c r="JGG553"/>
      <c r="JGH553"/>
      <c r="JGI553"/>
      <c r="JGJ553"/>
      <c r="JGK553"/>
      <c r="JGL553"/>
      <c r="JGM553"/>
      <c r="JGN553"/>
      <c r="JGO553"/>
      <c r="JGP553"/>
      <c r="JGQ553"/>
      <c r="JGR553"/>
      <c r="JGS553"/>
      <c r="JGT553"/>
      <c r="JGU553"/>
      <c r="JGV553"/>
      <c r="JGW553"/>
      <c r="JGX553"/>
      <c r="JGY553"/>
      <c r="JGZ553"/>
      <c r="JHA553"/>
      <c r="JHB553"/>
      <c r="JHC553"/>
      <c r="JHD553"/>
      <c r="JHE553"/>
      <c r="JHF553"/>
      <c r="JHG553"/>
      <c r="JHH553"/>
      <c r="JHI553"/>
      <c r="JHJ553"/>
      <c r="JHK553"/>
      <c r="JHL553"/>
      <c r="JHM553"/>
      <c r="JHN553"/>
      <c r="JHO553"/>
      <c r="JHP553"/>
      <c r="JHQ553"/>
      <c r="JHR553"/>
      <c r="JHS553"/>
      <c r="JHT553"/>
      <c r="JHU553"/>
      <c r="JHV553"/>
      <c r="JHW553"/>
      <c r="JHX553"/>
      <c r="JHY553"/>
      <c r="JHZ553"/>
      <c r="JIA553"/>
      <c r="JIB553"/>
      <c r="JIC553"/>
      <c r="JID553"/>
      <c r="JIE553"/>
      <c r="JIF553"/>
      <c r="JIG553"/>
      <c r="JIH553"/>
      <c r="JII553"/>
      <c r="JIJ553"/>
      <c r="JIK553"/>
      <c r="JIL553"/>
      <c r="JIM553"/>
      <c r="JIN553"/>
      <c r="JIO553"/>
      <c r="JIP553"/>
      <c r="JIQ553"/>
      <c r="JIR553"/>
      <c r="JIS553"/>
      <c r="JIT553"/>
      <c r="JIU553"/>
      <c r="JIV553"/>
      <c r="JIW553"/>
      <c r="JIX553"/>
      <c r="JIY553"/>
      <c r="JIZ553"/>
      <c r="JJA553"/>
      <c r="JJB553"/>
      <c r="JJC553"/>
      <c r="JJD553"/>
      <c r="JJE553"/>
      <c r="JJF553"/>
      <c r="JJG553"/>
      <c r="JJH553"/>
      <c r="JJI553"/>
      <c r="JJJ553"/>
      <c r="JJK553"/>
      <c r="JJL553"/>
      <c r="JJM553"/>
      <c r="JJN553"/>
      <c r="JJO553"/>
      <c r="JJP553"/>
      <c r="JJQ553"/>
      <c r="JJR553"/>
      <c r="JJS553"/>
      <c r="JJT553"/>
      <c r="JJU553"/>
      <c r="JJV553"/>
      <c r="JJW553"/>
      <c r="JJX553"/>
      <c r="JJY553"/>
      <c r="JJZ553"/>
      <c r="JKA553"/>
      <c r="JKB553"/>
      <c r="JKC553"/>
      <c r="JKD553"/>
      <c r="JKE553"/>
      <c r="JKF553"/>
      <c r="JKG553"/>
      <c r="JKH553"/>
      <c r="JKI553"/>
      <c r="JKJ553"/>
      <c r="JKK553"/>
      <c r="JKL553"/>
      <c r="JKM553"/>
      <c r="JKN553"/>
      <c r="JKO553"/>
      <c r="JKP553"/>
      <c r="JKQ553"/>
      <c r="JKR553"/>
      <c r="JKS553"/>
      <c r="JKT553"/>
      <c r="JKU553"/>
      <c r="JKV553"/>
      <c r="JKW553"/>
      <c r="JKX553"/>
      <c r="JKY553"/>
      <c r="JKZ553"/>
      <c r="JLA553"/>
      <c r="JLB553"/>
      <c r="JLC553"/>
      <c r="JLD553"/>
      <c r="JLE553"/>
      <c r="JLF553"/>
      <c r="JLG553"/>
      <c r="JLH553"/>
      <c r="JLI553"/>
      <c r="JLJ553"/>
      <c r="JLK553"/>
      <c r="JLL553"/>
      <c r="JLM553"/>
      <c r="JLN553"/>
      <c r="JLO553"/>
      <c r="JLP553"/>
      <c r="JLQ553"/>
      <c r="JLR553"/>
      <c r="JLS553"/>
      <c r="JLT553"/>
      <c r="JLU553"/>
      <c r="JLV553"/>
      <c r="JLW553"/>
      <c r="JLX553"/>
      <c r="JLY553"/>
      <c r="JLZ553"/>
      <c r="JMA553"/>
      <c r="JMB553"/>
      <c r="JMC553"/>
      <c r="JMD553"/>
      <c r="JME553"/>
      <c r="JMF553"/>
      <c r="JMG553"/>
      <c r="JMH553"/>
      <c r="JMI553"/>
      <c r="JMJ553"/>
      <c r="JMK553"/>
      <c r="JML553"/>
      <c r="JMM553"/>
      <c r="JMN553"/>
      <c r="JMO553"/>
      <c r="JMP553"/>
      <c r="JMQ553"/>
      <c r="JMR553"/>
      <c r="JMS553"/>
      <c r="JMT553"/>
      <c r="JMU553"/>
      <c r="JMV553"/>
      <c r="JMW553"/>
      <c r="JMX553"/>
      <c r="JMY553"/>
      <c r="JMZ553"/>
      <c r="JNA553"/>
      <c r="JNB553"/>
      <c r="JNC553"/>
      <c r="JND553"/>
      <c r="JNE553"/>
      <c r="JNF553"/>
      <c r="JNG553"/>
      <c r="JNH553"/>
      <c r="JNI553"/>
      <c r="JNJ553"/>
      <c r="JNK553"/>
      <c r="JNL553"/>
      <c r="JNM553"/>
      <c r="JNN553"/>
      <c r="JNO553"/>
      <c r="JNP553"/>
      <c r="JNQ553"/>
      <c r="JNR553"/>
      <c r="JNS553"/>
      <c r="JNT553"/>
      <c r="JNU553"/>
      <c r="JNV553"/>
      <c r="JNW553"/>
      <c r="JNX553"/>
      <c r="JNY553"/>
      <c r="JNZ553"/>
      <c r="JOA553"/>
      <c r="JOB553"/>
      <c r="JOC553"/>
      <c r="JOD553"/>
      <c r="JOE553"/>
      <c r="JOF553"/>
      <c r="JOG553"/>
      <c r="JOH553"/>
      <c r="JOI553"/>
      <c r="JOJ553"/>
      <c r="JOK553"/>
      <c r="JOL553"/>
      <c r="JOM553"/>
      <c r="JON553"/>
      <c r="JOO553"/>
      <c r="JOP553"/>
      <c r="JOQ553"/>
      <c r="JOR553"/>
      <c r="JOS553"/>
      <c r="JOT553"/>
      <c r="JOU553"/>
      <c r="JOV553"/>
      <c r="JOW553"/>
      <c r="JOX553"/>
      <c r="JOY553"/>
      <c r="JOZ553"/>
      <c r="JPA553"/>
      <c r="JPB553"/>
      <c r="JPC553"/>
      <c r="JPD553"/>
      <c r="JPE553"/>
      <c r="JPF553"/>
      <c r="JPG553"/>
      <c r="JPH553"/>
      <c r="JPI553"/>
      <c r="JPJ553"/>
      <c r="JPK553"/>
      <c r="JPL553"/>
      <c r="JPM553"/>
      <c r="JPN553"/>
      <c r="JPO553"/>
      <c r="JPP553"/>
      <c r="JPQ553"/>
      <c r="JPR553"/>
      <c r="JPS553"/>
      <c r="JPT553"/>
      <c r="JPU553"/>
      <c r="JPV553"/>
      <c r="JPW553"/>
      <c r="JPX553"/>
      <c r="JPY553"/>
      <c r="JPZ553"/>
      <c r="JQA553"/>
      <c r="JQB553"/>
      <c r="JQC553"/>
      <c r="JQD553"/>
      <c r="JQE553"/>
      <c r="JQF553"/>
      <c r="JQG553"/>
      <c r="JQH553"/>
      <c r="JQI553"/>
      <c r="JQJ553"/>
      <c r="JQK553"/>
      <c r="JQL553"/>
      <c r="JQM553"/>
      <c r="JQN553"/>
      <c r="JQO553"/>
      <c r="JQP553"/>
      <c r="JQQ553"/>
      <c r="JQR553"/>
      <c r="JQS553"/>
      <c r="JQT553"/>
      <c r="JQU553"/>
      <c r="JQV553"/>
      <c r="JQW553"/>
      <c r="JQX553"/>
      <c r="JQY553"/>
      <c r="JQZ553"/>
      <c r="JRA553"/>
      <c r="JRB553"/>
      <c r="JRC553"/>
      <c r="JRD553"/>
      <c r="JRE553"/>
      <c r="JRF553"/>
      <c r="JRG553"/>
      <c r="JRH553"/>
      <c r="JRI553"/>
      <c r="JRJ553"/>
      <c r="JRK553"/>
      <c r="JRL553"/>
      <c r="JRM553"/>
      <c r="JRN553"/>
      <c r="JRO553"/>
      <c r="JRP553"/>
      <c r="JRQ553"/>
      <c r="JRR553"/>
      <c r="JRS553"/>
      <c r="JRT553"/>
      <c r="JRU553"/>
      <c r="JRV553"/>
      <c r="JRW553"/>
      <c r="JRX553"/>
      <c r="JRY553"/>
      <c r="JRZ553"/>
      <c r="JSA553"/>
      <c r="JSB553"/>
      <c r="JSC553"/>
      <c r="JSD553"/>
      <c r="JSE553"/>
      <c r="JSF553"/>
      <c r="JSG553"/>
      <c r="JSH553"/>
      <c r="JSI553"/>
      <c r="JSJ553"/>
      <c r="JSK553"/>
      <c r="JSL553"/>
      <c r="JSM553"/>
      <c r="JSN553"/>
      <c r="JSO553"/>
      <c r="JSP553"/>
      <c r="JSQ553"/>
      <c r="JSR553"/>
      <c r="JSS553"/>
      <c r="JST553"/>
      <c r="JSU553"/>
      <c r="JSV553"/>
      <c r="JSW553"/>
      <c r="JSX553"/>
      <c r="JSY553"/>
      <c r="JSZ553"/>
      <c r="JTA553"/>
      <c r="JTB553"/>
      <c r="JTC553"/>
      <c r="JTD553"/>
      <c r="JTE553"/>
      <c r="JTF553"/>
      <c r="JTG553"/>
      <c r="JTH553"/>
      <c r="JTI553"/>
      <c r="JTJ553"/>
      <c r="JTK553"/>
      <c r="JTL553"/>
      <c r="JTM553"/>
      <c r="JTN553"/>
      <c r="JTO553"/>
      <c r="JTP553"/>
      <c r="JTQ553"/>
      <c r="JTR553"/>
      <c r="JTS553"/>
      <c r="JTT553"/>
      <c r="JTU553"/>
      <c r="JTV553"/>
      <c r="JTW553"/>
      <c r="JTX553"/>
      <c r="JTY553"/>
      <c r="JTZ553"/>
      <c r="JUA553"/>
      <c r="JUB553"/>
      <c r="JUC553"/>
      <c r="JUD553"/>
      <c r="JUE553"/>
      <c r="JUF553"/>
      <c r="JUG553"/>
      <c r="JUH553"/>
      <c r="JUI553"/>
      <c r="JUJ553"/>
      <c r="JUK553"/>
      <c r="JUL553"/>
      <c r="JUM553"/>
      <c r="JUN553"/>
      <c r="JUO553"/>
      <c r="JUP553"/>
      <c r="JUQ553"/>
      <c r="JUR553"/>
      <c r="JUS553"/>
      <c r="JUT553"/>
      <c r="JUU553"/>
      <c r="JUV553"/>
      <c r="JUW553"/>
      <c r="JUX553"/>
      <c r="JUY553"/>
      <c r="JUZ553"/>
      <c r="JVA553"/>
      <c r="JVB553"/>
      <c r="JVC553"/>
      <c r="JVD553"/>
      <c r="JVE553"/>
      <c r="JVF553"/>
      <c r="JVG553"/>
      <c r="JVH553"/>
      <c r="JVI553"/>
      <c r="JVJ553"/>
      <c r="JVK553"/>
      <c r="JVL553"/>
      <c r="JVM553"/>
      <c r="JVN553"/>
      <c r="JVO553"/>
      <c r="JVP553"/>
      <c r="JVQ553"/>
      <c r="JVR553"/>
      <c r="JVS553"/>
      <c r="JVT553"/>
      <c r="JVU553"/>
      <c r="JVV553"/>
      <c r="JVW553"/>
      <c r="JVX553"/>
      <c r="JVY553"/>
      <c r="JVZ553"/>
      <c r="JWA553"/>
      <c r="JWB553"/>
      <c r="JWC553"/>
      <c r="JWD553"/>
      <c r="JWE553"/>
      <c r="JWF553"/>
      <c r="JWG553"/>
      <c r="JWH553"/>
      <c r="JWI553"/>
      <c r="JWJ553"/>
      <c r="JWK553"/>
      <c r="JWL553"/>
      <c r="JWM553"/>
      <c r="JWN553"/>
      <c r="JWO553"/>
      <c r="JWP553"/>
      <c r="JWQ553"/>
      <c r="JWR553"/>
      <c r="JWS553"/>
      <c r="JWT553"/>
      <c r="JWU553"/>
      <c r="JWV553"/>
      <c r="JWW553"/>
      <c r="JWX553"/>
      <c r="JWY553"/>
      <c r="JWZ553"/>
      <c r="JXA553"/>
      <c r="JXB553"/>
      <c r="JXC553"/>
      <c r="JXD553"/>
      <c r="JXE553"/>
      <c r="JXF553"/>
      <c r="JXG553"/>
      <c r="JXH553"/>
      <c r="JXI553"/>
      <c r="JXJ553"/>
      <c r="JXK553"/>
      <c r="JXL553"/>
      <c r="JXM553"/>
      <c r="JXN553"/>
      <c r="JXO553"/>
      <c r="JXP553"/>
      <c r="JXQ553"/>
      <c r="JXR553"/>
      <c r="JXS553"/>
      <c r="JXT553"/>
      <c r="JXU553"/>
      <c r="JXV553"/>
      <c r="JXW553"/>
      <c r="JXX553"/>
      <c r="JXY553"/>
      <c r="JXZ553"/>
      <c r="JYA553"/>
      <c r="JYB553"/>
      <c r="JYC553"/>
      <c r="JYD553"/>
      <c r="JYE553"/>
      <c r="JYF553"/>
      <c r="JYG553"/>
      <c r="JYH553"/>
      <c r="JYI553"/>
      <c r="JYJ553"/>
      <c r="JYK553"/>
      <c r="JYL553"/>
      <c r="JYM553"/>
      <c r="JYN553"/>
      <c r="JYO553"/>
      <c r="JYP553"/>
      <c r="JYQ553"/>
      <c r="JYR553"/>
      <c r="JYS553"/>
      <c r="JYT553"/>
      <c r="JYU553"/>
      <c r="JYV553"/>
      <c r="JYW553"/>
      <c r="JYX553"/>
      <c r="JYY553"/>
      <c r="JYZ553"/>
      <c r="JZA553"/>
      <c r="JZB553"/>
      <c r="JZC553"/>
      <c r="JZD553"/>
      <c r="JZE553"/>
      <c r="JZF553"/>
      <c r="JZG553"/>
      <c r="JZH553"/>
      <c r="JZI553"/>
      <c r="JZJ553"/>
      <c r="JZK553"/>
      <c r="JZL553"/>
      <c r="JZM553"/>
      <c r="JZN553"/>
      <c r="JZO553"/>
      <c r="JZP553"/>
      <c r="JZQ553"/>
      <c r="JZR553"/>
      <c r="JZS553"/>
      <c r="JZT553"/>
      <c r="JZU553"/>
      <c r="JZV553"/>
      <c r="JZW553"/>
      <c r="JZX553"/>
      <c r="JZY553"/>
      <c r="JZZ553"/>
      <c r="KAA553"/>
      <c r="KAB553"/>
      <c r="KAC553"/>
      <c r="KAD553"/>
      <c r="KAE553"/>
      <c r="KAF553"/>
      <c r="KAG553"/>
      <c r="KAH553"/>
      <c r="KAI553"/>
      <c r="KAJ553"/>
      <c r="KAK553"/>
      <c r="KAL553"/>
      <c r="KAM553"/>
      <c r="KAN553"/>
      <c r="KAO553"/>
      <c r="KAP553"/>
      <c r="KAQ553"/>
      <c r="KAR553"/>
      <c r="KAS553"/>
      <c r="KAT553"/>
      <c r="KAU553"/>
      <c r="KAV553"/>
      <c r="KAW553"/>
      <c r="KAX553"/>
      <c r="KAY553"/>
      <c r="KAZ553"/>
      <c r="KBA553"/>
      <c r="KBB553"/>
      <c r="KBC553"/>
      <c r="KBD553"/>
      <c r="KBE553"/>
      <c r="KBF553"/>
      <c r="KBG553"/>
      <c r="KBH553"/>
      <c r="KBI553"/>
      <c r="KBJ553"/>
      <c r="KBK553"/>
      <c r="KBL553"/>
      <c r="KBM553"/>
      <c r="KBN553"/>
      <c r="KBO553"/>
      <c r="KBP553"/>
      <c r="KBQ553"/>
      <c r="KBR553"/>
      <c r="KBS553"/>
      <c r="KBT553"/>
      <c r="KBU553"/>
      <c r="KBV553"/>
      <c r="KBW553"/>
      <c r="KBX553"/>
      <c r="KBY553"/>
      <c r="KBZ553"/>
      <c r="KCA553"/>
      <c r="KCB553"/>
      <c r="KCC553"/>
      <c r="KCD553"/>
      <c r="KCE553"/>
      <c r="KCF553"/>
      <c r="KCG553"/>
      <c r="KCH553"/>
      <c r="KCI553"/>
      <c r="KCJ553"/>
      <c r="KCK553"/>
      <c r="KCL553"/>
      <c r="KCM553"/>
      <c r="KCN553"/>
      <c r="KCO553"/>
      <c r="KCP553"/>
      <c r="KCQ553"/>
      <c r="KCR553"/>
      <c r="KCS553"/>
      <c r="KCT553"/>
      <c r="KCU553"/>
      <c r="KCV553"/>
      <c r="KCW553"/>
      <c r="KCX553"/>
      <c r="KCY553"/>
      <c r="KCZ553"/>
      <c r="KDA553"/>
      <c r="KDB553"/>
      <c r="KDC553"/>
      <c r="KDD553"/>
      <c r="KDE553"/>
      <c r="KDF553"/>
      <c r="KDG553"/>
      <c r="KDH553"/>
      <c r="KDI553"/>
      <c r="KDJ553"/>
      <c r="KDK553"/>
      <c r="KDL553"/>
      <c r="KDM553"/>
      <c r="KDN553"/>
      <c r="KDO553"/>
      <c r="KDP553"/>
      <c r="KDQ553"/>
      <c r="KDR553"/>
      <c r="KDS553"/>
      <c r="KDT553"/>
      <c r="KDU553"/>
      <c r="KDV553"/>
      <c r="KDW553"/>
      <c r="KDX553"/>
      <c r="KDY553"/>
      <c r="KDZ553"/>
      <c r="KEA553"/>
      <c r="KEB553"/>
      <c r="KEC553"/>
      <c r="KED553"/>
      <c r="KEE553"/>
      <c r="KEF553"/>
      <c r="KEG553"/>
      <c r="KEH553"/>
      <c r="KEI553"/>
      <c r="KEJ553"/>
      <c r="KEK553"/>
      <c r="KEL553"/>
      <c r="KEM553"/>
      <c r="KEN553"/>
      <c r="KEO553"/>
      <c r="KEP553"/>
      <c r="KEQ553"/>
      <c r="KER553"/>
      <c r="KES553"/>
      <c r="KET553"/>
      <c r="KEU553"/>
      <c r="KEV553"/>
      <c r="KEW553"/>
      <c r="KEX553"/>
      <c r="KEY553"/>
      <c r="KEZ553"/>
      <c r="KFA553"/>
      <c r="KFB553"/>
      <c r="KFC553"/>
      <c r="KFD553"/>
      <c r="KFE553"/>
      <c r="KFF553"/>
      <c r="KFG553"/>
      <c r="KFH553"/>
      <c r="KFI553"/>
      <c r="KFJ553"/>
      <c r="KFK553"/>
      <c r="KFL553"/>
      <c r="KFM553"/>
      <c r="KFN553"/>
      <c r="KFO553"/>
      <c r="KFP553"/>
      <c r="KFQ553"/>
      <c r="KFR553"/>
      <c r="KFS553"/>
      <c r="KFT553"/>
      <c r="KFU553"/>
      <c r="KFV553"/>
      <c r="KFW553"/>
      <c r="KFX553"/>
      <c r="KFY553"/>
      <c r="KFZ553"/>
      <c r="KGA553"/>
      <c r="KGB553"/>
      <c r="KGC553"/>
      <c r="KGD553"/>
      <c r="KGE553"/>
      <c r="KGF553"/>
      <c r="KGG553"/>
      <c r="KGH553"/>
      <c r="KGI553"/>
      <c r="KGJ553"/>
      <c r="KGK553"/>
      <c r="KGL553"/>
      <c r="KGM553"/>
      <c r="KGN553"/>
      <c r="KGO553"/>
      <c r="KGP553"/>
      <c r="KGQ553"/>
      <c r="KGR553"/>
      <c r="KGS553"/>
      <c r="KGT553"/>
      <c r="KGU553"/>
      <c r="KGV553"/>
      <c r="KGW553"/>
      <c r="KGX553"/>
      <c r="KGY553"/>
      <c r="KGZ553"/>
      <c r="KHA553"/>
      <c r="KHB553"/>
      <c r="KHC553"/>
      <c r="KHD553"/>
      <c r="KHE553"/>
      <c r="KHF553"/>
      <c r="KHG553"/>
      <c r="KHH553"/>
      <c r="KHI553"/>
      <c r="KHJ553"/>
      <c r="KHK553"/>
      <c r="KHL553"/>
      <c r="KHM553"/>
      <c r="KHN553"/>
      <c r="KHO553"/>
      <c r="KHP553"/>
      <c r="KHQ553"/>
      <c r="KHR553"/>
      <c r="KHS553"/>
      <c r="KHT553"/>
      <c r="KHU553"/>
      <c r="KHV553"/>
      <c r="KHW553"/>
      <c r="KHX553"/>
      <c r="KHY553"/>
      <c r="KHZ553"/>
      <c r="KIA553"/>
      <c r="KIB553"/>
      <c r="KIC553"/>
      <c r="KID553"/>
      <c r="KIE553"/>
      <c r="KIF553"/>
      <c r="KIG553"/>
      <c r="KIH553"/>
      <c r="KII553"/>
      <c r="KIJ553"/>
      <c r="KIK553"/>
      <c r="KIL553"/>
      <c r="KIM553"/>
      <c r="KIN553"/>
      <c r="KIO553"/>
      <c r="KIP553"/>
      <c r="KIQ553"/>
      <c r="KIR553"/>
      <c r="KIS553"/>
      <c r="KIT553"/>
      <c r="KIU553"/>
      <c r="KIV553"/>
      <c r="KIW553"/>
      <c r="KIX553"/>
      <c r="KIY553"/>
      <c r="KIZ553"/>
      <c r="KJA553"/>
      <c r="KJB553"/>
      <c r="KJC553"/>
      <c r="KJD553"/>
      <c r="KJE553"/>
      <c r="KJF553"/>
      <c r="KJG553"/>
      <c r="KJH553"/>
      <c r="KJI553"/>
      <c r="KJJ553"/>
      <c r="KJK553"/>
      <c r="KJL553"/>
      <c r="KJM553"/>
      <c r="KJN553"/>
      <c r="KJO553"/>
      <c r="KJP553"/>
      <c r="KJQ553"/>
      <c r="KJR553"/>
      <c r="KJS553"/>
      <c r="KJT553"/>
      <c r="KJU553"/>
      <c r="KJV553"/>
      <c r="KJW553"/>
      <c r="KJX553"/>
      <c r="KJY553"/>
      <c r="KJZ553"/>
      <c r="KKA553"/>
      <c r="KKB553"/>
      <c r="KKC553"/>
      <c r="KKD553"/>
      <c r="KKE553"/>
      <c r="KKF553"/>
      <c r="KKG553"/>
      <c r="KKH553"/>
      <c r="KKI553"/>
      <c r="KKJ553"/>
      <c r="KKK553"/>
      <c r="KKL553"/>
      <c r="KKM553"/>
      <c r="KKN553"/>
      <c r="KKO553"/>
      <c r="KKP553"/>
      <c r="KKQ553"/>
      <c r="KKR553"/>
      <c r="KKS553"/>
      <c r="KKT553"/>
      <c r="KKU553"/>
      <c r="KKV553"/>
      <c r="KKW553"/>
      <c r="KKX553"/>
      <c r="KKY553"/>
      <c r="KKZ553"/>
      <c r="KLA553"/>
      <c r="KLB553"/>
      <c r="KLC553"/>
      <c r="KLD553"/>
      <c r="KLE553"/>
      <c r="KLF553"/>
      <c r="KLG553"/>
      <c r="KLH553"/>
      <c r="KLI553"/>
      <c r="KLJ553"/>
      <c r="KLK553"/>
      <c r="KLL553"/>
      <c r="KLM553"/>
      <c r="KLN553"/>
      <c r="KLO553"/>
      <c r="KLP553"/>
      <c r="KLQ553"/>
      <c r="KLR553"/>
      <c r="KLS553"/>
      <c r="KLT553"/>
      <c r="KLU553"/>
      <c r="KLV553"/>
      <c r="KLW553"/>
      <c r="KLX553"/>
      <c r="KLY553"/>
      <c r="KLZ553"/>
      <c r="KMA553"/>
      <c r="KMB553"/>
      <c r="KMC553"/>
      <c r="KMD553"/>
      <c r="KME553"/>
      <c r="KMF553"/>
      <c r="KMG553"/>
      <c r="KMH553"/>
      <c r="KMI553"/>
      <c r="KMJ553"/>
      <c r="KMK553"/>
      <c r="KML553"/>
      <c r="KMM553"/>
      <c r="KMN553"/>
      <c r="KMO553"/>
      <c r="KMP553"/>
      <c r="KMQ553"/>
      <c r="KMR553"/>
      <c r="KMS553"/>
      <c r="KMT553"/>
      <c r="KMU553"/>
      <c r="KMV553"/>
      <c r="KMW553"/>
      <c r="KMX553"/>
      <c r="KMY553"/>
      <c r="KMZ553"/>
      <c r="KNA553"/>
      <c r="KNB553"/>
      <c r="KNC553"/>
      <c r="KND553"/>
      <c r="KNE553"/>
      <c r="KNF553"/>
      <c r="KNG553"/>
      <c r="KNH553"/>
      <c r="KNI553"/>
      <c r="KNJ553"/>
      <c r="KNK553"/>
      <c r="KNL553"/>
      <c r="KNM553"/>
      <c r="KNN553"/>
      <c r="KNO553"/>
      <c r="KNP553"/>
      <c r="KNQ553"/>
      <c r="KNR553"/>
      <c r="KNS553"/>
      <c r="KNT553"/>
      <c r="KNU553"/>
      <c r="KNV553"/>
      <c r="KNW553"/>
      <c r="KNX553"/>
      <c r="KNY553"/>
      <c r="KNZ553"/>
      <c r="KOA553"/>
      <c r="KOB553"/>
      <c r="KOC553"/>
      <c r="KOD553"/>
      <c r="KOE553"/>
      <c r="KOF553"/>
      <c r="KOG553"/>
      <c r="KOH553"/>
      <c r="KOI553"/>
      <c r="KOJ553"/>
      <c r="KOK553"/>
      <c r="KOL553"/>
      <c r="KOM553"/>
      <c r="KON553"/>
      <c r="KOO553"/>
      <c r="KOP553"/>
      <c r="KOQ553"/>
      <c r="KOR553"/>
      <c r="KOS553"/>
      <c r="KOT553"/>
      <c r="KOU553"/>
      <c r="KOV553"/>
      <c r="KOW553"/>
      <c r="KOX553"/>
      <c r="KOY553"/>
      <c r="KOZ553"/>
      <c r="KPA553"/>
      <c r="KPB553"/>
      <c r="KPC553"/>
      <c r="KPD553"/>
      <c r="KPE553"/>
      <c r="KPF553"/>
      <c r="KPG553"/>
      <c r="KPH553"/>
      <c r="KPI553"/>
      <c r="KPJ553"/>
      <c r="KPK553"/>
      <c r="KPL553"/>
      <c r="KPM553"/>
      <c r="KPN553"/>
      <c r="KPO553"/>
      <c r="KPP553"/>
      <c r="KPQ553"/>
      <c r="KPR553"/>
      <c r="KPS553"/>
      <c r="KPT553"/>
      <c r="KPU553"/>
      <c r="KPV553"/>
      <c r="KPW553"/>
      <c r="KPX553"/>
      <c r="KPY553"/>
      <c r="KPZ553"/>
      <c r="KQA553"/>
      <c r="KQB553"/>
      <c r="KQC553"/>
      <c r="KQD553"/>
      <c r="KQE553"/>
      <c r="KQF553"/>
      <c r="KQG553"/>
      <c r="KQH553"/>
      <c r="KQI553"/>
      <c r="KQJ553"/>
      <c r="KQK553"/>
      <c r="KQL553"/>
      <c r="KQM553"/>
      <c r="KQN553"/>
      <c r="KQO553"/>
      <c r="KQP553"/>
      <c r="KQQ553"/>
      <c r="KQR553"/>
      <c r="KQS553"/>
      <c r="KQT553"/>
      <c r="KQU553"/>
      <c r="KQV553"/>
      <c r="KQW553"/>
      <c r="KQX553"/>
      <c r="KQY553"/>
      <c r="KQZ553"/>
      <c r="KRA553"/>
      <c r="KRB553"/>
      <c r="KRC553"/>
      <c r="KRD553"/>
      <c r="KRE553"/>
      <c r="KRF553"/>
      <c r="KRG553"/>
      <c r="KRH553"/>
      <c r="KRI553"/>
      <c r="KRJ553"/>
      <c r="KRK553"/>
      <c r="KRL553"/>
      <c r="KRM553"/>
      <c r="KRN553"/>
      <c r="KRO553"/>
      <c r="KRP553"/>
      <c r="KRQ553"/>
      <c r="KRR553"/>
      <c r="KRS553"/>
      <c r="KRT553"/>
      <c r="KRU553"/>
      <c r="KRV553"/>
      <c r="KRW553"/>
      <c r="KRX553"/>
      <c r="KRY553"/>
      <c r="KRZ553"/>
      <c r="KSA553"/>
      <c r="KSB553"/>
      <c r="KSC553"/>
      <c r="KSD553"/>
      <c r="KSE553"/>
      <c r="KSF553"/>
      <c r="KSG553"/>
      <c r="KSH553"/>
      <c r="KSI553"/>
      <c r="KSJ553"/>
      <c r="KSK553"/>
      <c r="KSL553"/>
      <c r="KSM553"/>
      <c r="KSN553"/>
      <c r="KSO553"/>
      <c r="KSP553"/>
      <c r="KSQ553"/>
      <c r="KSR553"/>
      <c r="KSS553"/>
      <c r="KST553"/>
      <c r="KSU553"/>
      <c r="KSV553"/>
      <c r="KSW553"/>
      <c r="KSX553"/>
      <c r="KSY553"/>
      <c r="KSZ553"/>
      <c r="KTA553"/>
      <c r="KTB553"/>
      <c r="KTC553"/>
      <c r="KTD553"/>
      <c r="KTE553"/>
      <c r="KTF553"/>
      <c r="KTG553"/>
      <c r="KTH553"/>
      <c r="KTI553"/>
      <c r="KTJ553"/>
      <c r="KTK553"/>
      <c r="KTL553"/>
      <c r="KTM553"/>
      <c r="KTN553"/>
      <c r="KTO553"/>
      <c r="KTP553"/>
      <c r="KTQ553"/>
      <c r="KTR553"/>
      <c r="KTS553"/>
      <c r="KTT553"/>
      <c r="KTU553"/>
      <c r="KTV553"/>
      <c r="KTW553"/>
      <c r="KTX553"/>
      <c r="KTY553"/>
      <c r="KTZ553"/>
      <c r="KUA553"/>
      <c r="KUB553"/>
      <c r="KUC553"/>
      <c r="KUD553"/>
      <c r="KUE553"/>
      <c r="KUF553"/>
      <c r="KUG553"/>
      <c r="KUH553"/>
      <c r="KUI553"/>
      <c r="KUJ553"/>
      <c r="KUK553"/>
      <c r="KUL553"/>
      <c r="KUM553"/>
      <c r="KUN553"/>
      <c r="KUO553"/>
      <c r="KUP553"/>
      <c r="KUQ553"/>
      <c r="KUR553"/>
      <c r="KUS553"/>
      <c r="KUT553"/>
      <c r="KUU553"/>
      <c r="KUV553"/>
      <c r="KUW553"/>
      <c r="KUX553"/>
      <c r="KUY553"/>
      <c r="KUZ553"/>
      <c r="KVA553"/>
      <c r="KVB553"/>
      <c r="KVC553"/>
      <c r="KVD553"/>
      <c r="KVE553"/>
      <c r="KVF553"/>
      <c r="KVG553"/>
      <c r="KVH553"/>
      <c r="KVI553"/>
      <c r="KVJ553"/>
      <c r="KVK553"/>
      <c r="KVL553"/>
      <c r="KVM553"/>
      <c r="KVN553"/>
      <c r="KVO553"/>
      <c r="KVP553"/>
      <c r="KVQ553"/>
      <c r="KVR553"/>
      <c r="KVS553"/>
      <c r="KVT553"/>
      <c r="KVU553"/>
      <c r="KVV553"/>
      <c r="KVW553"/>
      <c r="KVX553"/>
      <c r="KVY553"/>
      <c r="KVZ553"/>
      <c r="KWA553"/>
      <c r="KWB553"/>
      <c r="KWC553"/>
      <c r="KWD553"/>
      <c r="KWE553"/>
      <c r="KWF553"/>
      <c r="KWG553"/>
      <c r="KWH553"/>
      <c r="KWI553"/>
      <c r="KWJ553"/>
      <c r="KWK553"/>
      <c r="KWL553"/>
      <c r="KWM553"/>
      <c r="KWN553"/>
      <c r="KWO553"/>
      <c r="KWP553"/>
      <c r="KWQ553"/>
      <c r="KWR553"/>
      <c r="KWS553"/>
      <c r="KWT553"/>
      <c r="KWU553"/>
      <c r="KWV553"/>
      <c r="KWW553"/>
      <c r="KWX553"/>
      <c r="KWY553"/>
      <c r="KWZ553"/>
      <c r="KXA553"/>
      <c r="KXB553"/>
      <c r="KXC553"/>
      <c r="KXD553"/>
      <c r="KXE553"/>
      <c r="KXF553"/>
      <c r="KXG553"/>
      <c r="KXH553"/>
      <c r="KXI553"/>
      <c r="KXJ553"/>
      <c r="KXK553"/>
      <c r="KXL553"/>
      <c r="KXM553"/>
      <c r="KXN553"/>
      <c r="KXO553"/>
      <c r="KXP553"/>
      <c r="KXQ553"/>
      <c r="KXR553"/>
      <c r="KXS553"/>
      <c r="KXT553"/>
      <c r="KXU553"/>
      <c r="KXV553"/>
      <c r="KXW553"/>
      <c r="KXX553"/>
      <c r="KXY553"/>
      <c r="KXZ553"/>
      <c r="KYA553"/>
      <c r="KYB553"/>
      <c r="KYC553"/>
      <c r="KYD553"/>
      <c r="KYE553"/>
      <c r="KYF553"/>
      <c r="KYG553"/>
      <c r="KYH553"/>
      <c r="KYI553"/>
      <c r="KYJ553"/>
      <c r="KYK553"/>
      <c r="KYL553"/>
      <c r="KYM553"/>
      <c r="KYN553"/>
      <c r="KYO553"/>
      <c r="KYP553"/>
      <c r="KYQ553"/>
      <c r="KYR553"/>
      <c r="KYS553"/>
      <c r="KYT553"/>
      <c r="KYU553"/>
      <c r="KYV553"/>
      <c r="KYW553"/>
      <c r="KYX553"/>
      <c r="KYY553"/>
      <c r="KYZ553"/>
      <c r="KZA553"/>
      <c r="KZB553"/>
      <c r="KZC553"/>
      <c r="KZD553"/>
      <c r="KZE553"/>
      <c r="KZF553"/>
      <c r="KZG553"/>
      <c r="KZH553"/>
      <c r="KZI553"/>
      <c r="KZJ553"/>
      <c r="KZK553"/>
      <c r="KZL553"/>
      <c r="KZM553"/>
      <c r="KZN553"/>
      <c r="KZO553"/>
      <c r="KZP553"/>
      <c r="KZQ553"/>
      <c r="KZR553"/>
      <c r="KZS553"/>
      <c r="KZT553"/>
      <c r="KZU553"/>
      <c r="KZV553"/>
      <c r="KZW553"/>
      <c r="KZX553"/>
      <c r="KZY553"/>
      <c r="KZZ553"/>
      <c r="LAA553"/>
      <c r="LAB553"/>
      <c r="LAC553"/>
      <c r="LAD553"/>
      <c r="LAE553"/>
      <c r="LAF553"/>
      <c r="LAG553"/>
      <c r="LAH553"/>
      <c r="LAI553"/>
      <c r="LAJ553"/>
      <c r="LAK553"/>
      <c r="LAL553"/>
      <c r="LAM553"/>
      <c r="LAN553"/>
      <c r="LAO553"/>
      <c r="LAP553"/>
      <c r="LAQ553"/>
      <c r="LAR553"/>
      <c r="LAS553"/>
      <c r="LAT553"/>
      <c r="LAU553"/>
      <c r="LAV553"/>
      <c r="LAW553"/>
      <c r="LAX553"/>
      <c r="LAY553"/>
      <c r="LAZ553"/>
      <c r="LBA553"/>
      <c r="LBB553"/>
      <c r="LBC553"/>
      <c r="LBD553"/>
      <c r="LBE553"/>
      <c r="LBF553"/>
      <c r="LBG553"/>
      <c r="LBH553"/>
      <c r="LBI553"/>
      <c r="LBJ553"/>
      <c r="LBK553"/>
      <c r="LBL553"/>
      <c r="LBM553"/>
      <c r="LBN553"/>
      <c r="LBO553"/>
      <c r="LBP553"/>
      <c r="LBQ553"/>
      <c r="LBR553"/>
      <c r="LBS553"/>
      <c r="LBT553"/>
      <c r="LBU553"/>
      <c r="LBV553"/>
      <c r="LBW553"/>
      <c r="LBX553"/>
      <c r="LBY553"/>
      <c r="LBZ553"/>
      <c r="LCA553"/>
      <c r="LCB553"/>
      <c r="LCC553"/>
      <c r="LCD553"/>
      <c r="LCE553"/>
      <c r="LCF553"/>
      <c r="LCG553"/>
      <c r="LCH553"/>
      <c r="LCI553"/>
      <c r="LCJ553"/>
      <c r="LCK553"/>
      <c r="LCL553"/>
      <c r="LCM553"/>
      <c r="LCN553"/>
      <c r="LCO553"/>
      <c r="LCP553"/>
      <c r="LCQ553"/>
      <c r="LCR553"/>
      <c r="LCS553"/>
      <c r="LCT553"/>
      <c r="LCU553"/>
      <c r="LCV553"/>
      <c r="LCW553"/>
      <c r="LCX553"/>
      <c r="LCY553"/>
      <c r="LCZ553"/>
      <c r="LDA553"/>
      <c r="LDB553"/>
      <c r="LDC553"/>
      <c r="LDD553"/>
      <c r="LDE553"/>
      <c r="LDF553"/>
      <c r="LDG553"/>
      <c r="LDH553"/>
      <c r="LDI553"/>
      <c r="LDJ553"/>
      <c r="LDK553"/>
      <c r="LDL553"/>
      <c r="LDM553"/>
      <c r="LDN553"/>
      <c r="LDO553"/>
      <c r="LDP553"/>
      <c r="LDQ553"/>
      <c r="LDR553"/>
      <c r="LDS553"/>
      <c r="LDT553"/>
      <c r="LDU553"/>
      <c r="LDV553"/>
      <c r="LDW553"/>
      <c r="LDX553"/>
      <c r="LDY553"/>
      <c r="LDZ553"/>
      <c r="LEA553"/>
      <c r="LEB553"/>
      <c r="LEC553"/>
      <c r="LED553"/>
      <c r="LEE553"/>
      <c r="LEF553"/>
      <c r="LEG553"/>
      <c r="LEH553"/>
      <c r="LEI553"/>
      <c r="LEJ553"/>
      <c r="LEK553"/>
      <c r="LEL553"/>
      <c r="LEM553"/>
      <c r="LEN553"/>
      <c r="LEO553"/>
      <c r="LEP553"/>
      <c r="LEQ553"/>
      <c r="LER553"/>
      <c r="LES553"/>
      <c r="LET553"/>
      <c r="LEU553"/>
      <c r="LEV553"/>
      <c r="LEW553"/>
      <c r="LEX553"/>
      <c r="LEY553"/>
      <c r="LEZ553"/>
      <c r="LFA553"/>
      <c r="LFB553"/>
      <c r="LFC553"/>
      <c r="LFD553"/>
      <c r="LFE553"/>
      <c r="LFF553"/>
      <c r="LFG553"/>
      <c r="LFH553"/>
      <c r="LFI553"/>
      <c r="LFJ553"/>
      <c r="LFK553"/>
      <c r="LFL553"/>
      <c r="LFM553"/>
      <c r="LFN553"/>
      <c r="LFO553"/>
      <c r="LFP553"/>
      <c r="LFQ553"/>
      <c r="LFR553"/>
      <c r="LFS553"/>
      <c r="LFT553"/>
      <c r="LFU553"/>
      <c r="LFV553"/>
      <c r="LFW553"/>
      <c r="LFX553"/>
      <c r="LFY553"/>
      <c r="LFZ553"/>
      <c r="LGA553"/>
      <c r="LGB553"/>
      <c r="LGC553"/>
      <c r="LGD553"/>
      <c r="LGE553"/>
      <c r="LGF553"/>
      <c r="LGG553"/>
      <c r="LGH553"/>
      <c r="LGI553"/>
      <c r="LGJ553"/>
      <c r="LGK553"/>
      <c r="LGL553"/>
      <c r="LGM553"/>
      <c r="LGN553"/>
      <c r="LGO553"/>
      <c r="LGP553"/>
      <c r="LGQ553"/>
      <c r="LGR553"/>
      <c r="LGS553"/>
      <c r="LGT553"/>
      <c r="LGU553"/>
      <c r="LGV553"/>
      <c r="LGW553"/>
      <c r="LGX553"/>
      <c r="LGY553"/>
      <c r="LGZ553"/>
      <c r="LHA553"/>
      <c r="LHB553"/>
      <c r="LHC553"/>
      <c r="LHD553"/>
      <c r="LHE553"/>
      <c r="LHF553"/>
      <c r="LHG553"/>
      <c r="LHH553"/>
      <c r="LHI553"/>
      <c r="LHJ553"/>
      <c r="LHK553"/>
      <c r="LHL553"/>
      <c r="LHM553"/>
      <c r="LHN553"/>
      <c r="LHO553"/>
      <c r="LHP553"/>
      <c r="LHQ553"/>
      <c r="LHR553"/>
      <c r="LHS553"/>
      <c r="LHT553"/>
      <c r="LHU553"/>
      <c r="LHV553"/>
      <c r="LHW553"/>
      <c r="LHX553"/>
      <c r="LHY553"/>
      <c r="LHZ553"/>
      <c r="LIA553"/>
      <c r="LIB553"/>
      <c r="LIC553"/>
      <c r="LID553"/>
      <c r="LIE553"/>
      <c r="LIF553"/>
      <c r="LIG553"/>
      <c r="LIH553"/>
      <c r="LII553"/>
      <c r="LIJ553"/>
      <c r="LIK553"/>
      <c r="LIL553"/>
      <c r="LIM553"/>
      <c r="LIN553"/>
      <c r="LIO553"/>
      <c r="LIP553"/>
      <c r="LIQ553"/>
      <c r="LIR553"/>
      <c r="LIS553"/>
      <c r="LIT553"/>
      <c r="LIU553"/>
      <c r="LIV553"/>
      <c r="LIW553"/>
      <c r="LIX553"/>
      <c r="LIY553"/>
      <c r="LIZ553"/>
      <c r="LJA553"/>
      <c r="LJB553"/>
      <c r="LJC553"/>
      <c r="LJD553"/>
      <c r="LJE553"/>
      <c r="LJF553"/>
      <c r="LJG553"/>
      <c r="LJH553"/>
      <c r="LJI553"/>
      <c r="LJJ553"/>
      <c r="LJK553"/>
      <c r="LJL553"/>
      <c r="LJM553"/>
      <c r="LJN553"/>
      <c r="LJO553"/>
      <c r="LJP553"/>
      <c r="LJQ553"/>
      <c r="LJR553"/>
      <c r="LJS553"/>
      <c r="LJT553"/>
      <c r="LJU553"/>
      <c r="LJV553"/>
      <c r="LJW553"/>
      <c r="LJX553"/>
      <c r="LJY553"/>
      <c r="LJZ553"/>
      <c r="LKA553"/>
      <c r="LKB553"/>
      <c r="LKC553"/>
      <c r="LKD553"/>
      <c r="LKE553"/>
      <c r="LKF553"/>
      <c r="LKG553"/>
      <c r="LKH553"/>
      <c r="LKI553"/>
      <c r="LKJ553"/>
      <c r="LKK553"/>
      <c r="LKL553"/>
      <c r="LKM553"/>
      <c r="LKN553"/>
      <c r="LKO553"/>
      <c r="LKP553"/>
      <c r="LKQ553"/>
      <c r="LKR553"/>
      <c r="LKS553"/>
      <c r="LKT553"/>
      <c r="LKU553"/>
      <c r="LKV553"/>
      <c r="LKW553"/>
      <c r="LKX553"/>
      <c r="LKY553"/>
      <c r="LKZ553"/>
      <c r="LLA553"/>
      <c r="LLB553"/>
      <c r="LLC553"/>
      <c r="LLD553"/>
      <c r="LLE553"/>
      <c r="LLF553"/>
      <c r="LLG553"/>
      <c r="LLH553"/>
      <c r="LLI553"/>
      <c r="LLJ553"/>
      <c r="LLK553"/>
      <c r="LLL553"/>
      <c r="LLM553"/>
      <c r="LLN553"/>
      <c r="LLO553"/>
      <c r="LLP553"/>
      <c r="LLQ553"/>
      <c r="LLR553"/>
      <c r="LLS553"/>
      <c r="LLT553"/>
      <c r="LLU553"/>
      <c r="LLV553"/>
      <c r="LLW553"/>
      <c r="LLX553"/>
      <c r="LLY553"/>
      <c r="LLZ553"/>
      <c r="LMA553"/>
      <c r="LMB553"/>
      <c r="LMC553"/>
      <c r="LMD553"/>
      <c r="LME553"/>
      <c r="LMF553"/>
      <c r="LMG553"/>
      <c r="LMH553"/>
      <c r="LMI553"/>
      <c r="LMJ553"/>
      <c r="LMK553"/>
      <c r="LML553"/>
      <c r="LMM553"/>
      <c r="LMN553"/>
      <c r="LMO553"/>
      <c r="LMP553"/>
      <c r="LMQ553"/>
      <c r="LMR553"/>
      <c r="LMS553"/>
      <c r="LMT553"/>
      <c r="LMU553"/>
      <c r="LMV553"/>
      <c r="LMW553"/>
      <c r="LMX553"/>
      <c r="LMY553"/>
      <c r="LMZ553"/>
      <c r="LNA553"/>
      <c r="LNB553"/>
      <c r="LNC553"/>
      <c r="LND553"/>
      <c r="LNE553"/>
      <c r="LNF553"/>
      <c r="LNG553"/>
      <c r="LNH553"/>
      <c r="LNI553"/>
      <c r="LNJ553"/>
      <c r="LNK553"/>
      <c r="LNL553"/>
      <c r="LNM553"/>
      <c r="LNN553"/>
      <c r="LNO553"/>
      <c r="LNP553"/>
      <c r="LNQ553"/>
      <c r="LNR553"/>
      <c r="LNS553"/>
      <c r="LNT553"/>
      <c r="LNU553"/>
      <c r="LNV553"/>
      <c r="LNW553"/>
      <c r="LNX553"/>
      <c r="LNY553"/>
      <c r="LNZ553"/>
      <c r="LOA553"/>
      <c r="LOB553"/>
      <c r="LOC553"/>
      <c r="LOD553"/>
      <c r="LOE553"/>
      <c r="LOF553"/>
      <c r="LOG553"/>
      <c r="LOH553"/>
      <c r="LOI553"/>
      <c r="LOJ553"/>
      <c r="LOK553"/>
      <c r="LOL553"/>
      <c r="LOM553"/>
      <c r="LON553"/>
      <c r="LOO553"/>
      <c r="LOP553"/>
      <c r="LOQ553"/>
      <c r="LOR553"/>
      <c r="LOS553"/>
      <c r="LOT553"/>
      <c r="LOU553"/>
      <c r="LOV553"/>
      <c r="LOW553"/>
      <c r="LOX553"/>
      <c r="LOY553"/>
      <c r="LOZ553"/>
      <c r="LPA553"/>
      <c r="LPB553"/>
      <c r="LPC553"/>
      <c r="LPD553"/>
      <c r="LPE553"/>
      <c r="LPF553"/>
      <c r="LPG553"/>
      <c r="LPH553"/>
      <c r="LPI553"/>
      <c r="LPJ553"/>
      <c r="LPK553"/>
      <c r="LPL553"/>
      <c r="LPM553"/>
      <c r="LPN553"/>
      <c r="LPO553"/>
      <c r="LPP553"/>
      <c r="LPQ553"/>
      <c r="LPR553"/>
      <c r="LPS553"/>
      <c r="LPT553"/>
      <c r="LPU553"/>
      <c r="LPV553"/>
      <c r="LPW553"/>
      <c r="LPX553"/>
      <c r="LPY553"/>
      <c r="LPZ553"/>
      <c r="LQA553"/>
      <c r="LQB553"/>
      <c r="LQC553"/>
      <c r="LQD553"/>
      <c r="LQE553"/>
      <c r="LQF553"/>
      <c r="LQG553"/>
      <c r="LQH553"/>
      <c r="LQI553"/>
      <c r="LQJ553"/>
      <c r="LQK553"/>
      <c r="LQL553"/>
      <c r="LQM553"/>
      <c r="LQN553"/>
      <c r="LQO553"/>
      <c r="LQP553"/>
      <c r="LQQ553"/>
      <c r="LQR553"/>
      <c r="LQS553"/>
      <c r="LQT553"/>
      <c r="LQU553"/>
      <c r="LQV553"/>
      <c r="LQW553"/>
      <c r="LQX553"/>
      <c r="LQY553"/>
      <c r="LQZ553"/>
      <c r="LRA553"/>
      <c r="LRB553"/>
      <c r="LRC553"/>
      <c r="LRD553"/>
      <c r="LRE553"/>
      <c r="LRF553"/>
      <c r="LRG553"/>
      <c r="LRH553"/>
      <c r="LRI553"/>
      <c r="LRJ553"/>
      <c r="LRK553"/>
      <c r="LRL553"/>
      <c r="LRM553"/>
      <c r="LRN553"/>
      <c r="LRO553"/>
      <c r="LRP553"/>
      <c r="LRQ553"/>
      <c r="LRR553"/>
      <c r="LRS553"/>
      <c r="LRT553"/>
      <c r="LRU553"/>
      <c r="LRV553"/>
      <c r="LRW553"/>
      <c r="LRX553"/>
      <c r="LRY553"/>
      <c r="LRZ553"/>
      <c r="LSA553"/>
      <c r="LSB553"/>
      <c r="LSC553"/>
      <c r="LSD553"/>
      <c r="LSE553"/>
      <c r="LSF553"/>
      <c r="LSG553"/>
      <c r="LSH553"/>
      <c r="LSI553"/>
      <c r="LSJ553"/>
      <c r="LSK553"/>
      <c r="LSL553"/>
      <c r="LSM553"/>
      <c r="LSN553"/>
      <c r="LSO553"/>
      <c r="LSP553"/>
      <c r="LSQ553"/>
      <c r="LSR553"/>
      <c r="LSS553"/>
      <c r="LST553"/>
      <c r="LSU553"/>
      <c r="LSV553"/>
      <c r="LSW553"/>
      <c r="LSX553"/>
      <c r="LSY553"/>
      <c r="LSZ553"/>
      <c r="LTA553"/>
      <c r="LTB553"/>
      <c r="LTC553"/>
      <c r="LTD553"/>
      <c r="LTE553"/>
      <c r="LTF553"/>
      <c r="LTG553"/>
      <c r="LTH553"/>
      <c r="LTI553"/>
      <c r="LTJ553"/>
      <c r="LTK553"/>
      <c r="LTL553"/>
      <c r="LTM553"/>
      <c r="LTN553"/>
      <c r="LTO553"/>
      <c r="LTP553"/>
      <c r="LTQ553"/>
      <c r="LTR553"/>
      <c r="LTS553"/>
      <c r="LTT553"/>
      <c r="LTU553"/>
      <c r="LTV553"/>
      <c r="LTW553"/>
      <c r="LTX553"/>
      <c r="LTY553"/>
      <c r="LTZ553"/>
      <c r="LUA553"/>
      <c r="LUB553"/>
      <c r="LUC553"/>
      <c r="LUD553"/>
      <c r="LUE553"/>
      <c r="LUF553"/>
      <c r="LUG553"/>
      <c r="LUH553"/>
      <c r="LUI553"/>
      <c r="LUJ553"/>
      <c r="LUK553"/>
      <c r="LUL553"/>
      <c r="LUM553"/>
      <c r="LUN553"/>
      <c r="LUO553"/>
      <c r="LUP553"/>
      <c r="LUQ553"/>
      <c r="LUR553"/>
      <c r="LUS553"/>
      <c r="LUT553"/>
      <c r="LUU553"/>
      <c r="LUV553"/>
      <c r="LUW553"/>
      <c r="LUX553"/>
      <c r="LUY553"/>
      <c r="LUZ553"/>
      <c r="LVA553"/>
      <c r="LVB553"/>
      <c r="LVC553"/>
      <c r="LVD553"/>
      <c r="LVE553"/>
      <c r="LVF553"/>
      <c r="LVG553"/>
      <c r="LVH553"/>
      <c r="LVI553"/>
      <c r="LVJ553"/>
      <c r="LVK553"/>
      <c r="LVL553"/>
      <c r="LVM553"/>
      <c r="LVN553"/>
      <c r="LVO553"/>
      <c r="LVP553"/>
      <c r="LVQ553"/>
      <c r="LVR553"/>
      <c r="LVS553"/>
      <c r="LVT553"/>
      <c r="LVU553"/>
      <c r="LVV553"/>
      <c r="LVW553"/>
      <c r="LVX553"/>
      <c r="LVY553"/>
      <c r="LVZ553"/>
      <c r="LWA553"/>
      <c r="LWB553"/>
      <c r="LWC553"/>
      <c r="LWD553"/>
      <c r="LWE553"/>
      <c r="LWF553"/>
      <c r="LWG553"/>
      <c r="LWH553"/>
      <c r="LWI553"/>
      <c r="LWJ553"/>
      <c r="LWK553"/>
      <c r="LWL553"/>
      <c r="LWM553"/>
      <c r="LWN553"/>
      <c r="LWO553"/>
      <c r="LWP553"/>
      <c r="LWQ553"/>
      <c r="LWR553"/>
      <c r="LWS553"/>
      <c r="LWT553"/>
      <c r="LWU553"/>
      <c r="LWV553"/>
      <c r="LWW553"/>
      <c r="LWX553"/>
      <c r="LWY553"/>
      <c r="LWZ553"/>
      <c r="LXA553"/>
      <c r="LXB553"/>
      <c r="LXC553"/>
      <c r="LXD553"/>
      <c r="LXE553"/>
      <c r="LXF553"/>
      <c r="LXG553"/>
      <c r="LXH553"/>
      <c r="LXI553"/>
      <c r="LXJ553"/>
      <c r="LXK553"/>
      <c r="LXL553"/>
      <c r="LXM553"/>
      <c r="LXN553"/>
      <c r="LXO553"/>
      <c r="LXP553"/>
      <c r="LXQ553"/>
      <c r="LXR553"/>
      <c r="LXS553"/>
      <c r="LXT553"/>
      <c r="LXU553"/>
      <c r="LXV553"/>
      <c r="LXW553"/>
      <c r="LXX553"/>
      <c r="LXY553"/>
      <c r="LXZ553"/>
      <c r="LYA553"/>
      <c r="LYB553"/>
      <c r="LYC553"/>
      <c r="LYD553"/>
      <c r="LYE553"/>
      <c r="LYF553"/>
      <c r="LYG553"/>
      <c r="LYH553"/>
      <c r="LYI553"/>
      <c r="LYJ553"/>
      <c r="LYK553"/>
      <c r="LYL553"/>
      <c r="LYM553"/>
      <c r="LYN553"/>
      <c r="LYO553"/>
      <c r="LYP553"/>
      <c r="LYQ553"/>
      <c r="LYR553"/>
      <c r="LYS553"/>
      <c r="LYT553"/>
      <c r="LYU553"/>
      <c r="LYV553"/>
      <c r="LYW553"/>
      <c r="LYX553"/>
      <c r="LYY553"/>
      <c r="LYZ553"/>
      <c r="LZA553"/>
      <c r="LZB553"/>
      <c r="LZC553"/>
      <c r="LZD553"/>
      <c r="LZE553"/>
      <c r="LZF553"/>
      <c r="LZG553"/>
      <c r="LZH553"/>
      <c r="LZI553"/>
      <c r="LZJ553"/>
      <c r="LZK553"/>
      <c r="LZL553"/>
      <c r="LZM553"/>
      <c r="LZN553"/>
      <c r="LZO553"/>
      <c r="LZP553"/>
      <c r="LZQ553"/>
      <c r="LZR553"/>
      <c r="LZS553"/>
      <c r="LZT553"/>
      <c r="LZU553"/>
      <c r="LZV553"/>
      <c r="LZW553"/>
      <c r="LZX553"/>
      <c r="LZY553"/>
      <c r="LZZ553"/>
      <c r="MAA553"/>
      <c r="MAB553"/>
      <c r="MAC553"/>
      <c r="MAD553"/>
      <c r="MAE553"/>
      <c r="MAF553"/>
      <c r="MAG553"/>
      <c r="MAH553"/>
      <c r="MAI553"/>
      <c r="MAJ553"/>
      <c r="MAK553"/>
      <c r="MAL553"/>
      <c r="MAM553"/>
      <c r="MAN553"/>
      <c r="MAO553"/>
      <c r="MAP553"/>
      <c r="MAQ553"/>
      <c r="MAR553"/>
      <c r="MAS553"/>
      <c r="MAT553"/>
      <c r="MAU553"/>
      <c r="MAV553"/>
      <c r="MAW553"/>
      <c r="MAX553"/>
      <c r="MAY553"/>
      <c r="MAZ553"/>
      <c r="MBA553"/>
      <c r="MBB553"/>
      <c r="MBC553"/>
      <c r="MBD553"/>
      <c r="MBE553"/>
      <c r="MBF553"/>
      <c r="MBG553"/>
      <c r="MBH553"/>
      <c r="MBI553"/>
      <c r="MBJ553"/>
      <c r="MBK553"/>
      <c r="MBL553"/>
      <c r="MBM553"/>
      <c r="MBN553"/>
      <c r="MBO553"/>
      <c r="MBP553"/>
      <c r="MBQ553"/>
      <c r="MBR553"/>
      <c r="MBS553"/>
      <c r="MBT553"/>
      <c r="MBU553"/>
      <c r="MBV553"/>
      <c r="MBW553"/>
      <c r="MBX553"/>
      <c r="MBY553"/>
      <c r="MBZ553"/>
      <c r="MCA553"/>
      <c r="MCB553"/>
      <c r="MCC553"/>
      <c r="MCD553"/>
      <c r="MCE553"/>
      <c r="MCF553"/>
      <c r="MCG553"/>
      <c r="MCH553"/>
      <c r="MCI553"/>
      <c r="MCJ553"/>
      <c r="MCK553"/>
      <c r="MCL553"/>
      <c r="MCM553"/>
      <c r="MCN553"/>
      <c r="MCO553"/>
      <c r="MCP553"/>
      <c r="MCQ553"/>
      <c r="MCR553"/>
      <c r="MCS553"/>
      <c r="MCT553"/>
      <c r="MCU553"/>
      <c r="MCV553"/>
      <c r="MCW553"/>
      <c r="MCX553"/>
      <c r="MCY553"/>
      <c r="MCZ553"/>
      <c r="MDA553"/>
      <c r="MDB553"/>
      <c r="MDC553"/>
      <c r="MDD553"/>
      <c r="MDE553"/>
      <c r="MDF553"/>
      <c r="MDG553"/>
      <c r="MDH553"/>
      <c r="MDI553"/>
      <c r="MDJ553"/>
      <c r="MDK553"/>
      <c r="MDL553"/>
      <c r="MDM553"/>
      <c r="MDN553"/>
      <c r="MDO553"/>
      <c r="MDP553"/>
      <c r="MDQ553"/>
      <c r="MDR553"/>
      <c r="MDS553"/>
      <c r="MDT553"/>
      <c r="MDU553"/>
      <c r="MDV553"/>
      <c r="MDW553"/>
      <c r="MDX553"/>
      <c r="MDY553"/>
      <c r="MDZ553"/>
      <c r="MEA553"/>
      <c r="MEB553"/>
      <c r="MEC553"/>
      <c r="MED553"/>
      <c r="MEE553"/>
      <c r="MEF553"/>
      <c r="MEG553"/>
      <c r="MEH553"/>
      <c r="MEI553"/>
      <c r="MEJ553"/>
      <c r="MEK553"/>
      <c r="MEL553"/>
      <c r="MEM553"/>
      <c r="MEN553"/>
      <c r="MEO553"/>
      <c r="MEP553"/>
      <c r="MEQ553"/>
      <c r="MER553"/>
      <c r="MES553"/>
      <c r="MET553"/>
      <c r="MEU553"/>
      <c r="MEV553"/>
      <c r="MEW553"/>
      <c r="MEX553"/>
      <c r="MEY553"/>
      <c r="MEZ553"/>
      <c r="MFA553"/>
      <c r="MFB553"/>
      <c r="MFC553"/>
      <c r="MFD553"/>
      <c r="MFE553"/>
      <c r="MFF553"/>
      <c r="MFG553"/>
      <c r="MFH553"/>
      <c r="MFI553"/>
      <c r="MFJ553"/>
      <c r="MFK553"/>
      <c r="MFL553"/>
      <c r="MFM553"/>
      <c r="MFN553"/>
      <c r="MFO553"/>
      <c r="MFP553"/>
      <c r="MFQ553"/>
      <c r="MFR553"/>
      <c r="MFS553"/>
      <c r="MFT553"/>
      <c r="MFU553"/>
      <c r="MFV553"/>
      <c r="MFW553"/>
      <c r="MFX553"/>
      <c r="MFY553"/>
      <c r="MFZ553"/>
      <c r="MGA553"/>
      <c r="MGB553"/>
      <c r="MGC553"/>
      <c r="MGD553"/>
      <c r="MGE553"/>
      <c r="MGF553"/>
      <c r="MGG553"/>
      <c r="MGH553"/>
      <c r="MGI553"/>
      <c r="MGJ553"/>
      <c r="MGK553"/>
      <c r="MGL553"/>
      <c r="MGM553"/>
      <c r="MGN553"/>
      <c r="MGO553"/>
      <c r="MGP553"/>
      <c r="MGQ553"/>
      <c r="MGR553"/>
      <c r="MGS553"/>
      <c r="MGT553"/>
      <c r="MGU553"/>
      <c r="MGV553"/>
      <c r="MGW553"/>
      <c r="MGX553"/>
      <c r="MGY553"/>
      <c r="MGZ553"/>
      <c r="MHA553"/>
      <c r="MHB553"/>
      <c r="MHC553"/>
      <c r="MHD553"/>
      <c r="MHE553"/>
      <c r="MHF553"/>
      <c r="MHG553"/>
      <c r="MHH553"/>
      <c r="MHI553"/>
      <c r="MHJ553"/>
      <c r="MHK553"/>
      <c r="MHL553"/>
      <c r="MHM553"/>
      <c r="MHN553"/>
      <c r="MHO553"/>
      <c r="MHP553"/>
      <c r="MHQ553"/>
      <c r="MHR553"/>
      <c r="MHS553"/>
      <c r="MHT553"/>
      <c r="MHU553"/>
      <c r="MHV553"/>
      <c r="MHW553"/>
      <c r="MHX553"/>
      <c r="MHY553"/>
      <c r="MHZ553"/>
      <c r="MIA553"/>
      <c r="MIB553"/>
      <c r="MIC553"/>
      <c r="MID553"/>
      <c r="MIE553"/>
      <c r="MIF553"/>
      <c r="MIG553"/>
      <c r="MIH553"/>
      <c r="MII553"/>
      <c r="MIJ553"/>
      <c r="MIK553"/>
      <c r="MIL553"/>
      <c r="MIM553"/>
      <c r="MIN553"/>
      <c r="MIO553"/>
      <c r="MIP553"/>
      <c r="MIQ553"/>
      <c r="MIR553"/>
      <c r="MIS553"/>
      <c r="MIT553"/>
      <c r="MIU553"/>
      <c r="MIV553"/>
      <c r="MIW553"/>
      <c r="MIX553"/>
      <c r="MIY553"/>
      <c r="MIZ553"/>
      <c r="MJA553"/>
      <c r="MJB553"/>
      <c r="MJC553"/>
      <c r="MJD553"/>
      <c r="MJE553"/>
      <c r="MJF553"/>
      <c r="MJG553"/>
      <c r="MJH553"/>
      <c r="MJI553"/>
      <c r="MJJ553"/>
      <c r="MJK553"/>
      <c r="MJL553"/>
      <c r="MJM553"/>
      <c r="MJN553"/>
      <c r="MJO553"/>
      <c r="MJP553"/>
      <c r="MJQ553"/>
      <c r="MJR553"/>
      <c r="MJS553"/>
      <c r="MJT553"/>
      <c r="MJU553"/>
      <c r="MJV553"/>
      <c r="MJW553"/>
      <c r="MJX553"/>
      <c r="MJY553"/>
      <c r="MJZ553"/>
      <c r="MKA553"/>
      <c r="MKB553"/>
      <c r="MKC553"/>
      <c r="MKD553"/>
      <c r="MKE553"/>
      <c r="MKF553"/>
      <c r="MKG553"/>
      <c r="MKH553"/>
      <c r="MKI553"/>
      <c r="MKJ553"/>
      <c r="MKK553"/>
      <c r="MKL553"/>
      <c r="MKM553"/>
      <c r="MKN553"/>
      <c r="MKO553"/>
      <c r="MKP553"/>
      <c r="MKQ553"/>
      <c r="MKR553"/>
      <c r="MKS553"/>
      <c r="MKT553"/>
      <c r="MKU553"/>
      <c r="MKV553"/>
      <c r="MKW553"/>
      <c r="MKX553"/>
      <c r="MKY553"/>
      <c r="MKZ553"/>
      <c r="MLA553"/>
      <c r="MLB553"/>
      <c r="MLC553"/>
      <c r="MLD553"/>
      <c r="MLE553"/>
      <c r="MLF553"/>
      <c r="MLG553"/>
      <c r="MLH553"/>
      <c r="MLI553"/>
      <c r="MLJ553"/>
      <c r="MLK553"/>
      <c r="MLL553"/>
      <c r="MLM553"/>
      <c r="MLN553"/>
      <c r="MLO553"/>
      <c r="MLP553"/>
      <c r="MLQ553"/>
      <c r="MLR553"/>
      <c r="MLS553"/>
      <c r="MLT553"/>
      <c r="MLU553"/>
      <c r="MLV553"/>
      <c r="MLW553"/>
      <c r="MLX553"/>
      <c r="MLY553"/>
      <c r="MLZ553"/>
      <c r="MMA553"/>
      <c r="MMB553"/>
      <c r="MMC553"/>
      <c r="MMD553"/>
      <c r="MME553"/>
      <c r="MMF553"/>
      <c r="MMG553"/>
      <c r="MMH553"/>
      <c r="MMI553"/>
      <c r="MMJ553"/>
      <c r="MMK553"/>
      <c r="MML553"/>
      <c r="MMM553"/>
      <c r="MMN553"/>
      <c r="MMO553"/>
      <c r="MMP553"/>
      <c r="MMQ553"/>
      <c r="MMR553"/>
      <c r="MMS553"/>
      <c r="MMT553"/>
      <c r="MMU553"/>
      <c r="MMV553"/>
      <c r="MMW553"/>
      <c r="MMX553"/>
      <c r="MMY553"/>
      <c r="MMZ553"/>
      <c r="MNA553"/>
      <c r="MNB553"/>
      <c r="MNC553"/>
      <c r="MND553"/>
      <c r="MNE553"/>
      <c r="MNF553"/>
      <c r="MNG553"/>
      <c r="MNH553"/>
      <c r="MNI553"/>
      <c r="MNJ553"/>
      <c r="MNK553"/>
      <c r="MNL553"/>
      <c r="MNM553"/>
      <c r="MNN553"/>
      <c r="MNO553"/>
      <c r="MNP553"/>
      <c r="MNQ553"/>
      <c r="MNR553"/>
      <c r="MNS553"/>
      <c r="MNT553"/>
      <c r="MNU553"/>
      <c r="MNV553"/>
      <c r="MNW553"/>
      <c r="MNX553"/>
      <c r="MNY553"/>
      <c r="MNZ553"/>
      <c r="MOA553"/>
      <c r="MOB553"/>
      <c r="MOC553"/>
      <c r="MOD553"/>
      <c r="MOE553"/>
      <c r="MOF553"/>
      <c r="MOG553"/>
      <c r="MOH553"/>
      <c r="MOI553"/>
      <c r="MOJ553"/>
      <c r="MOK553"/>
      <c r="MOL553"/>
      <c r="MOM553"/>
      <c r="MON553"/>
      <c r="MOO553"/>
      <c r="MOP553"/>
      <c r="MOQ553"/>
      <c r="MOR553"/>
      <c r="MOS553"/>
      <c r="MOT553"/>
      <c r="MOU553"/>
      <c r="MOV553"/>
      <c r="MOW553"/>
      <c r="MOX553"/>
      <c r="MOY553"/>
      <c r="MOZ553"/>
      <c r="MPA553"/>
      <c r="MPB553"/>
      <c r="MPC553"/>
      <c r="MPD553"/>
      <c r="MPE553"/>
      <c r="MPF553"/>
      <c r="MPG553"/>
      <c r="MPH553"/>
      <c r="MPI553"/>
      <c r="MPJ553"/>
      <c r="MPK553"/>
      <c r="MPL553"/>
      <c r="MPM553"/>
      <c r="MPN553"/>
      <c r="MPO553"/>
      <c r="MPP553"/>
      <c r="MPQ553"/>
      <c r="MPR553"/>
      <c r="MPS553"/>
      <c r="MPT553"/>
      <c r="MPU553"/>
      <c r="MPV553"/>
      <c r="MPW553"/>
      <c r="MPX553"/>
      <c r="MPY553"/>
      <c r="MPZ553"/>
      <c r="MQA553"/>
      <c r="MQB553"/>
      <c r="MQC553"/>
      <c r="MQD553"/>
      <c r="MQE553"/>
      <c r="MQF553"/>
      <c r="MQG553"/>
      <c r="MQH553"/>
      <c r="MQI553"/>
      <c r="MQJ553"/>
      <c r="MQK553"/>
      <c r="MQL553"/>
      <c r="MQM553"/>
      <c r="MQN553"/>
      <c r="MQO553"/>
      <c r="MQP553"/>
      <c r="MQQ553"/>
      <c r="MQR553"/>
      <c r="MQS553"/>
      <c r="MQT553"/>
      <c r="MQU553"/>
      <c r="MQV553"/>
      <c r="MQW553"/>
      <c r="MQX553"/>
      <c r="MQY553"/>
      <c r="MQZ553"/>
      <c r="MRA553"/>
      <c r="MRB553"/>
      <c r="MRC553"/>
      <c r="MRD553"/>
      <c r="MRE553"/>
      <c r="MRF553"/>
      <c r="MRG553"/>
      <c r="MRH553"/>
      <c r="MRI553"/>
      <c r="MRJ553"/>
      <c r="MRK553"/>
      <c r="MRL553"/>
      <c r="MRM553"/>
      <c r="MRN553"/>
      <c r="MRO553"/>
      <c r="MRP553"/>
      <c r="MRQ553"/>
      <c r="MRR553"/>
      <c r="MRS553"/>
      <c r="MRT553"/>
      <c r="MRU553"/>
      <c r="MRV553"/>
      <c r="MRW553"/>
      <c r="MRX553"/>
      <c r="MRY553"/>
      <c r="MRZ553"/>
      <c r="MSA553"/>
      <c r="MSB553"/>
      <c r="MSC553"/>
      <c r="MSD553"/>
      <c r="MSE553"/>
      <c r="MSF553"/>
      <c r="MSG553"/>
      <c r="MSH553"/>
      <c r="MSI553"/>
      <c r="MSJ553"/>
      <c r="MSK553"/>
      <c r="MSL553"/>
      <c r="MSM553"/>
      <c r="MSN553"/>
      <c r="MSO553"/>
      <c r="MSP553"/>
      <c r="MSQ553"/>
      <c r="MSR553"/>
      <c r="MSS553"/>
      <c r="MST553"/>
      <c r="MSU553"/>
      <c r="MSV553"/>
      <c r="MSW553"/>
      <c r="MSX553"/>
      <c r="MSY553"/>
      <c r="MSZ553"/>
      <c r="MTA553"/>
      <c r="MTB553"/>
      <c r="MTC553"/>
      <c r="MTD553"/>
      <c r="MTE553"/>
      <c r="MTF553"/>
      <c r="MTG553"/>
      <c r="MTH553"/>
      <c r="MTI553"/>
      <c r="MTJ553"/>
      <c r="MTK553"/>
      <c r="MTL553"/>
      <c r="MTM553"/>
      <c r="MTN553"/>
      <c r="MTO553"/>
      <c r="MTP553"/>
      <c r="MTQ553"/>
      <c r="MTR553"/>
      <c r="MTS553"/>
      <c r="MTT553"/>
      <c r="MTU553"/>
      <c r="MTV553"/>
      <c r="MTW553"/>
      <c r="MTX553"/>
      <c r="MTY553"/>
      <c r="MTZ553"/>
      <c r="MUA553"/>
      <c r="MUB553"/>
      <c r="MUC553"/>
      <c r="MUD553"/>
      <c r="MUE553"/>
      <c r="MUF553"/>
      <c r="MUG553"/>
      <c r="MUH553"/>
      <c r="MUI553"/>
      <c r="MUJ553"/>
      <c r="MUK553"/>
      <c r="MUL553"/>
      <c r="MUM553"/>
      <c r="MUN553"/>
      <c r="MUO553"/>
      <c r="MUP553"/>
      <c r="MUQ553"/>
      <c r="MUR553"/>
      <c r="MUS553"/>
      <c r="MUT553"/>
      <c r="MUU553"/>
      <c r="MUV553"/>
      <c r="MUW553"/>
      <c r="MUX553"/>
      <c r="MUY553"/>
      <c r="MUZ553"/>
      <c r="MVA553"/>
      <c r="MVB553"/>
      <c r="MVC553"/>
      <c r="MVD553"/>
      <c r="MVE553"/>
      <c r="MVF553"/>
      <c r="MVG553"/>
      <c r="MVH553"/>
      <c r="MVI553"/>
      <c r="MVJ553"/>
      <c r="MVK553"/>
      <c r="MVL553"/>
      <c r="MVM553"/>
      <c r="MVN553"/>
      <c r="MVO553"/>
      <c r="MVP553"/>
      <c r="MVQ553"/>
      <c r="MVR553"/>
      <c r="MVS553"/>
      <c r="MVT553"/>
      <c r="MVU553"/>
      <c r="MVV553"/>
      <c r="MVW553"/>
      <c r="MVX553"/>
      <c r="MVY553"/>
      <c r="MVZ553"/>
      <c r="MWA553"/>
      <c r="MWB553"/>
      <c r="MWC553"/>
      <c r="MWD553"/>
      <c r="MWE553"/>
      <c r="MWF553"/>
      <c r="MWG553"/>
      <c r="MWH553"/>
      <c r="MWI553"/>
      <c r="MWJ553"/>
      <c r="MWK553"/>
      <c r="MWL553"/>
      <c r="MWM553"/>
      <c r="MWN553"/>
      <c r="MWO553"/>
      <c r="MWP553"/>
      <c r="MWQ553"/>
      <c r="MWR553"/>
      <c r="MWS553"/>
      <c r="MWT553"/>
      <c r="MWU553"/>
      <c r="MWV553"/>
      <c r="MWW553"/>
      <c r="MWX553"/>
      <c r="MWY553"/>
      <c r="MWZ553"/>
      <c r="MXA553"/>
      <c r="MXB553"/>
      <c r="MXC553"/>
      <c r="MXD553"/>
      <c r="MXE553"/>
      <c r="MXF553"/>
      <c r="MXG553"/>
      <c r="MXH553"/>
      <c r="MXI553"/>
      <c r="MXJ553"/>
      <c r="MXK553"/>
      <c r="MXL553"/>
      <c r="MXM553"/>
      <c r="MXN553"/>
      <c r="MXO553"/>
      <c r="MXP553"/>
      <c r="MXQ553"/>
      <c r="MXR553"/>
      <c r="MXS553"/>
      <c r="MXT553"/>
      <c r="MXU553"/>
      <c r="MXV553"/>
      <c r="MXW553"/>
      <c r="MXX553"/>
      <c r="MXY553"/>
      <c r="MXZ553"/>
      <c r="MYA553"/>
      <c r="MYB553"/>
      <c r="MYC553"/>
      <c r="MYD553"/>
      <c r="MYE553"/>
      <c r="MYF553"/>
      <c r="MYG553"/>
      <c r="MYH553"/>
      <c r="MYI553"/>
      <c r="MYJ553"/>
      <c r="MYK553"/>
      <c r="MYL553"/>
      <c r="MYM553"/>
      <c r="MYN553"/>
      <c r="MYO553"/>
      <c r="MYP553"/>
      <c r="MYQ553"/>
      <c r="MYR553"/>
      <c r="MYS553"/>
      <c r="MYT553"/>
      <c r="MYU553"/>
      <c r="MYV553"/>
      <c r="MYW553"/>
      <c r="MYX553"/>
      <c r="MYY553"/>
      <c r="MYZ553"/>
      <c r="MZA553"/>
      <c r="MZB553"/>
      <c r="MZC553"/>
      <c r="MZD553"/>
      <c r="MZE553"/>
      <c r="MZF553"/>
      <c r="MZG553"/>
      <c r="MZH553"/>
      <c r="MZI553"/>
      <c r="MZJ553"/>
      <c r="MZK553"/>
      <c r="MZL553"/>
      <c r="MZM553"/>
      <c r="MZN553"/>
      <c r="MZO553"/>
      <c r="MZP553"/>
      <c r="MZQ553"/>
      <c r="MZR553"/>
      <c r="MZS553"/>
      <c r="MZT553"/>
      <c r="MZU553"/>
      <c r="MZV553"/>
      <c r="MZW553"/>
      <c r="MZX553"/>
      <c r="MZY553"/>
      <c r="MZZ553"/>
      <c r="NAA553"/>
      <c r="NAB553"/>
      <c r="NAC553"/>
      <c r="NAD553"/>
      <c r="NAE553"/>
      <c r="NAF553"/>
      <c r="NAG553"/>
      <c r="NAH553"/>
      <c r="NAI553"/>
      <c r="NAJ553"/>
      <c r="NAK553"/>
      <c r="NAL553"/>
      <c r="NAM553"/>
      <c r="NAN553"/>
      <c r="NAO553"/>
      <c r="NAP553"/>
      <c r="NAQ553"/>
      <c r="NAR553"/>
      <c r="NAS553"/>
      <c r="NAT553"/>
      <c r="NAU553"/>
      <c r="NAV553"/>
      <c r="NAW553"/>
      <c r="NAX553"/>
      <c r="NAY553"/>
      <c r="NAZ553"/>
      <c r="NBA553"/>
      <c r="NBB553"/>
      <c r="NBC553"/>
      <c r="NBD553"/>
      <c r="NBE553"/>
      <c r="NBF553"/>
      <c r="NBG553"/>
      <c r="NBH553"/>
      <c r="NBI553"/>
      <c r="NBJ553"/>
      <c r="NBK553"/>
      <c r="NBL553"/>
      <c r="NBM553"/>
      <c r="NBN553"/>
      <c r="NBO553"/>
      <c r="NBP553"/>
      <c r="NBQ553"/>
      <c r="NBR553"/>
      <c r="NBS553"/>
      <c r="NBT553"/>
      <c r="NBU553"/>
      <c r="NBV553"/>
      <c r="NBW553"/>
      <c r="NBX553"/>
      <c r="NBY553"/>
      <c r="NBZ553"/>
      <c r="NCA553"/>
      <c r="NCB553"/>
      <c r="NCC553"/>
      <c r="NCD553"/>
      <c r="NCE553"/>
      <c r="NCF553"/>
      <c r="NCG553"/>
      <c r="NCH553"/>
      <c r="NCI553"/>
      <c r="NCJ553"/>
      <c r="NCK553"/>
      <c r="NCL553"/>
      <c r="NCM553"/>
      <c r="NCN553"/>
      <c r="NCO553"/>
      <c r="NCP553"/>
      <c r="NCQ553"/>
      <c r="NCR553"/>
      <c r="NCS553"/>
      <c r="NCT553"/>
      <c r="NCU553"/>
      <c r="NCV553"/>
      <c r="NCW553"/>
      <c r="NCX553"/>
      <c r="NCY553"/>
      <c r="NCZ553"/>
      <c r="NDA553"/>
      <c r="NDB553"/>
      <c r="NDC553"/>
      <c r="NDD553"/>
      <c r="NDE553"/>
      <c r="NDF553"/>
      <c r="NDG553"/>
      <c r="NDH553"/>
      <c r="NDI553"/>
      <c r="NDJ553"/>
      <c r="NDK553"/>
      <c r="NDL553"/>
      <c r="NDM553"/>
      <c r="NDN553"/>
      <c r="NDO553"/>
      <c r="NDP553"/>
      <c r="NDQ553"/>
      <c r="NDR553"/>
      <c r="NDS553"/>
      <c r="NDT553"/>
      <c r="NDU553"/>
      <c r="NDV553"/>
      <c r="NDW553"/>
      <c r="NDX553"/>
      <c r="NDY553"/>
      <c r="NDZ553"/>
      <c r="NEA553"/>
      <c r="NEB553"/>
      <c r="NEC553"/>
      <c r="NED553"/>
      <c r="NEE553"/>
      <c r="NEF553"/>
      <c r="NEG553"/>
      <c r="NEH553"/>
      <c r="NEI553"/>
      <c r="NEJ553"/>
      <c r="NEK553"/>
      <c r="NEL553"/>
      <c r="NEM553"/>
      <c r="NEN553"/>
      <c r="NEO553"/>
      <c r="NEP553"/>
      <c r="NEQ553"/>
      <c r="NER553"/>
      <c r="NES553"/>
      <c r="NET553"/>
      <c r="NEU553"/>
      <c r="NEV553"/>
      <c r="NEW553"/>
      <c r="NEX553"/>
      <c r="NEY553"/>
      <c r="NEZ553"/>
      <c r="NFA553"/>
      <c r="NFB553"/>
      <c r="NFC553"/>
      <c r="NFD553"/>
      <c r="NFE553"/>
      <c r="NFF553"/>
      <c r="NFG553"/>
      <c r="NFH553"/>
      <c r="NFI553"/>
      <c r="NFJ553"/>
      <c r="NFK553"/>
      <c r="NFL553"/>
      <c r="NFM553"/>
      <c r="NFN553"/>
      <c r="NFO553"/>
      <c r="NFP553"/>
      <c r="NFQ553"/>
      <c r="NFR553"/>
      <c r="NFS553"/>
      <c r="NFT553"/>
      <c r="NFU553"/>
      <c r="NFV553"/>
      <c r="NFW553"/>
      <c r="NFX553"/>
      <c r="NFY553"/>
      <c r="NFZ553"/>
      <c r="NGA553"/>
      <c r="NGB553"/>
      <c r="NGC553"/>
      <c r="NGD553"/>
      <c r="NGE553"/>
      <c r="NGF553"/>
      <c r="NGG553"/>
      <c r="NGH553"/>
      <c r="NGI553"/>
      <c r="NGJ553"/>
      <c r="NGK553"/>
      <c r="NGL553"/>
      <c r="NGM553"/>
      <c r="NGN553"/>
      <c r="NGO553"/>
      <c r="NGP553"/>
      <c r="NGQ553"/>
      <c r="NGR553"/>
      <c r="NGS553"/>
      <c r="NGT553"/>
      <c r="NGU553"/>
      <c r="NGV553"/>
      <c r="NGW553"/>
      <c r="NGX553"/>
      <c r="NGY553"/>
      <c r="NGZ553"/>
      <c r="NHA553"/>
      <c r="NHB553"/>
      <c r="NHC553"/>
      <c r="NHD553"/>
      <c r="NHE553"/>
      <c r="NHF553"/>
      <c r="NHG553"/>
      <c r="NHH553"/>
      <c r="NHI553"/>
      <c r="NHJ553"/>
      <c r="NHK553"/>
      <c r="NHL553"/>
      <c r="NHM553"/>
      <c r="NHN553"/>
      <c r="NHO553"/>
      <c r="NHP553"/>
      <c r="NHQ553"/>
      <c r="NHR553"/>
      <c r="NHS553"/>
      <c r="NHT553"/>
      <c r="NHU553"/>
      <c r="NHV553"/>
      <c r="NHW553"/>
      <c r="NHX553"/>
      <c r="NHY553"/>
      <c r="NHZ553"/>
      <c r="NIA553"/>
      <c r="NIB553"/>
      <c r="NIC553"/>
      <c r="NID553"/>
      <c r="NIE553"/>
      <c r="NIF553"/>
      <c r="NIG553"/>
      <c r="NIH553"/>
      <c r="NII553"/>
      <c r="NIJ553"/>
      <c r="NIK553"/>
      <c r="NIL553"/>
      <c r="NIM553"/>
      <c r="NIN553"/>
      <c r="NIO553"/>
      <c r="NIP553"/>
      <c r="NIQ553"/>
      <c r="NIR553"/>
      <c r="NIS553"/>
      <c r="NIT553"/>
      <c r="NIU553"/>
      <c r="NIV553"/>
      <c r="NIW553"/>
      <c r="NIX553"/>
      <c r="NIY553"/>
      <c r="NIZ553"/>
      <c r="NJA553"/>
      <c r="NJB553"/>
      <c r="NJC553"/>
      <c r="NJD553"/>
      <c r="NJE553"/>
      <c r="NJF553"/>
      <c r="NJG553"/>
      <c r="NJH553"/>
      <c r="NJI553"/>
      <c r="NJJ553"/>
      <c r="NJK553"/>
      <c r="NJL553"/>
      <c r="NJM553"/>
      <c r="NJN553"/>
      <c r="NJO553"/>
      <c r="NJP553"/>
      <c r="NJQ553"/>
      <c r="NJR553"/>
      <c r="NJS553"/>
      <c r="NJT553"/>
      <c r="NJU553"/>
      <c r="NJV553"/>
      <c r="NJW553"/>
      <c r="NJX553"/>
      <c r="NJY553"/>
      <c r="NJZ553"/>
      <c r="NKA553"/>
      <c r="NKB553"/>
      <c r="NKC553"/>
      <c r="NKD553"/>
      <c r="NKE553"/>
      <c r="NKF553"/>
      <c r="NKG553"/>
      <c r="NKH553"/>
      <c r="NKI553"/>
      <c r="NKJ553"/>
      <c r="NKK553"/>
      <c r="NKL553"/>
      <c r="NKM553"/>
      <c r="NKN553"/>
      <c r="NKO553"/>
      <c r="NKP553"/>
      <c r="NKQ553"/>
      <c r="NKR553"/>
      <c r="NKS553"/>
      <c r="NKT553"/>
      <c r="NKU553"/>
      <c r="NKV553"/>
      <c r="NKW553"/>
      <c r="NKX553"/>
      <c r="NKY553"/>
      <c r="NKZ553"/>
      <c r="NLA553"/>
      <c r="NLB553"/>
      <c r="NLC553"/>
      <c r="NLD553"/>
      <c r="NLE553"/>
      <c r="NLF553"/>
      <c r="NLG553"/>
      <c r="NLH553"/>
      <c r="NLI553"/>
      <c r="NLJ553"/>
      <c r="NLK553"/>
      <c r="NLL553"/>
      <c r="NLM553"/>
      <c r="NLN553"/>
      <c r="NLO553"/>
      <c r="NLP553"/>
      <c r="NLQ553"/>
      <c r="NLR553"/>
      <c r="NLS553"/>
      <c r="NLT553"/>
      <c r="NLU553"/>
      <c r="NLV553"/>
      <c r="NLW553"/>
      <c r="NLX553"/>
      <c r="NLY553"/>
      <c r="NLZ553"/>
      <c r="NMA553"/>
      <c r="NMB553"/>
      <c r="NMC553"/>
      <c r="NMD553"/>
      <c r="NME553"/>
      <c r="NMF553"/>
      <c r="NMG553"/>
      <c r="NMH553"/>
      <c r="NMI553"/>
      <c r="NMJ553"/>
      <c r="NMK553"/>
      <c r="NML553"/>
      <c r="NMM553"/>
      <c r="NMN553"/>
      <c r="NMO553"/>
      <c r="NMP553"/>
      <c r="NMQ553"/>
      <c r="NMR553"/>
      <c r="NMS553"/>
      <c r="NMT553"/>
      <c r="NMU553"/>
      <c r="NMV553"/>
      <c r="NMW553"/>
      <c r="NMX553"/>
      <c r="NMY553"/>
      <c r="NMZ553"/>
      <c r="NNA553"/>
      <c r="NNB553"/>
      <c r="NNC553"/>
      <c r="NND553"/>
      <c r="NNE553"/>
      <c r="NNF553"/>
      <c r="NNG553"/>
      <c r="NNH553"/>
      <c r="NNI553"/>
      <c r="NNJ553"/>
      <c r="NNK553"/>
      <c r="NNL553"/>
      <c r="NNM553"/>
      <c r="NNN553"/>
      <c r="NNO553"/>
      <c r="NNP553"/>
      <c r="NNQ553"/>
      <c r="NNR553"/>
      <c r="NNS553"/>
      <c r="NNT553"/>
      <c r="NNU553"/>
      <c r="NNV553"/>
      <c r="NNW553"/>
      <c r="NNX553"/>
      <c r="NNY553"/>
      <c r="NNZ553"/>
      <c r="NOA553"/>
      <c r="NOB553"/>
      <c r="NOC553"/>
      <c r="NOD553"/>
      <c r="NOE553"/>
      <c r="NOF553"/>
      <c r="NOG553"/>
      <c r="NOH553"/>
      <c r="NOI553"/>
      <c r="NOJ553"/>
      <c r="NOK553"/>
      <c r="NOL553"/>
      <c r="NOM553"/>
      <c r="NON553"/>
      <c r="NOO553"/>
      <c r="NOP553"/>
      <c r="NOQ553"/>
      <c r="NOR553"/>
      <c r="NOS553"/>
      <c r="NOT553"/>
      <c r="NOU553"/>
      <c r="NOV553"/>
      <c r="NOW553"/>
      <c r="NOX553"/>
      <c r="NOY553"/>
      <c r="NOZ553"/>
      <c r="NPA553"/>
      <c r="NPB553"/>
      <c r="NPC553"/>
      <c r="NPD553"/>
      <c r="NPE553"/>
      <c r="NPF553"/>
      <c r="NPG553"/>
      <c r="NPH553"/>
      <c r="NPI553"/>
      <c r="NPJ553"/>
      <c r="NPK553"/>
      <c r="NPL553"/>
      <c r="NPM553"/>
      <c r="NPN553"/>
      <c r="NPO553"/>
      <c r="NPP553"/>
      <c r="NPQ553"/>
      <c r="NPR553"/>
      <c r="NPS553"/>
      <c r="NPT553"/>
      <c r="NPU553"/>
      <c r="NPV553"/>
      <c r="NPW553"/>
      <c r="NPX553"/>
      <c r="NPY553"/>
      <c r="NPZ553"/>
      <c r="NQA553"/>
      <c r="NQB553"/>
      <c r="NQC553"/>
      <c r="NQD553"/>
      <c r="NQE553"/>
      <c r="NQF553"/>
      <c r="NQG553"/>
      <c r="NQH553"/>
      <c r="NQI553"/>
      <c r="NQJ553"/>
      <c r="NQK553"/>
      <c r="NQL553"/>
      <c r="NQM553"/>
      <c r="NQN553"/>
      <c r="NQO553"/>
      <c r="NQP553"/>
      <c r="NQQ553"/>
      <c r="NQR553"/>
      <c r="NQS553"/>
      <c r="NQT553"/>
      <c r="NQU553"/>
      <c r="NQV553"/>
      <c r="NQW553"/>
      <c r="NQX553"/>
      <c r="NQY553"/>
      <c r="NQZ553"/>
      <c r="NRA553"/>
      <c r="NRB553"/>
      <c r="NRC553"/>
      <c r="NRD553"/>
      <c r="NRE553"/>
      <c r="NRF553"/>
      <c r="NRG553"/>
      <c r="NRH553"/>
      <c r="NRI553"/>
      <c r="NRJ553"/>
      <c r="NRK553"/>
      <c r="NRL553"/>
      <c r="NRM553"/>
      <c r="NRN553"/>
      <c r="NRO553"/>
      <c r="NRP553"/>
      <c r="NRQ553"/>
      <c r="NRR553"/>
      <c r="NRS553"/>
      <c r="NRT553"/>
      <c r="NRU553"/>
      <c r="NRV553"/>
      <c r="NRW553"/>
      <c r="NRX553"/>
      <c r="NRY553"/>
      <c r="NRZ553"/>
      <c r="NSA553"/>
      <c r="NSB553"/>
      <c r="NSC553"/>
      <c r="NSD553"/>
      <c r="NSE553"/>
      <c r="NSF553"/>
      <c r="NSG553"/>
      <c r="NSH553"/>
      <c r="NSI553"/>
      <c r="NSJ553"/>
      <c r="NSK553"/>
      <c r="NSL553"/>
      <c r="NSM553"/>
      <c r="NSN553"/>
      <c r="NSO553"/>
      <c r="NSP553"/>
      <c r="NSQ553"/>
      <c r="NSR553"/>
      <c r="NSS553"/>
      <c r="NST553"/>
      <c r="NSU553"/>
      <c r="NSV553"/>
      <c r="NSW553"/>
      <c r="NSX553"/>
      <c r="NSY553"/>
      <c r="NSZ553"/>
      <c r="NTA553"/>
      <c r="NTB553"/>
      <c r="NTC553"/>
      <c r="NTD553"/>
      <c r="NTE553"/>
      <c r="NTF553"/>
      <c r="NTG553"/>
      <c r="NTH553"/>
      <c r="NTI553"/>
      <c r="NTJ553"/>
      <c r="NTK553"/>
      <c r="NTL553"/>
      <c r="NTM553"/>
      <c r="NTN553"/>
      <c r="NTO553"/>
      <c r="NTP553"/>
      <c r="NTQ553"/>
      <c r="NTR553"/>
      <c r="NTS553"/>
      <c r="NTT553"/>
      <c r="NTU553"/>
      <c r="NTV553"/>
      <c r="NTW553"/>
      <c r="NTX553"/>
      <c r="NTY553"/>
      <c r="NTZ553"/>
      <c r="NUA553"/>
      <c r="NUB553"/>
      <c r="NUC553"/>
      <c r="NUD553"/>
      <c r="NUE553"/>
      <c r="NUF553"/>
      <c r="NUG553"/>
      <c r="NUH553"/>
      <c r="NUI553"/>
      <c r="NUJ553"/>
      <c r="NUK553"/>
      <c r="NUL553"/>
      <c r="NUM553"/>
      <c r="NUN553"/>
      <c r="NUO553"/>
      <c r="NUP553"/>
      <c r="NUQ553"/>
      <c r="NUR553"/>
      <c r="NUS553"/>
      <c r="NUT553"/>
      <c r="NUU553"/>
      <c r="NUV553"/>
      <c r="NUW553"/>
      <c r="NUX553"/>
      <c r="NUY553"/>
      <c r="NUZ553"/>
      <c r="NVA553"/>
      <c r="NVB553"/>
      <c r="NVC553"/>
      <c r="NVD553"/>
      <c r="NVE553"/>
      <c r="NVF553"/>
      <c r="NVG553"/>
      <c r="NVH553"/>
      <c r="NVI553"/>
      <c r="NVJ553"/>
      <c r="NVK553"/>
      <c r="NVL553"/>
      <c r="NVM553"/>
      <c r="NVN553"/>
      <c r="NVO553"/>
      <c r="NVP553"/>
      <c r="NVQ553"/>
      <c r="NVR553"/>
      <c r="NVS553"/>
      <c r="NVT553"/>
      <c r="NVU553"/>
      <c r="NVV553"/>
      <c r="NVW553"/>
      <c r="NVX553"/>
      <c r="NVY553"/>
      <c r="NVZ553"/>
      <c r="NWA553"/>
      <c r="NWB553"/>
      <c r="NWC553"/>
      <c r="NWD553"/>
      <c r="NWE553"/>
      <c r="NWF553"/>
      <c r="NWG553"/>
      <c r="NWH553"/>
      <c r="NWI553"/>
      <c r="NWJ553"/>
      <c r="NWK553"/>
      <c r="NWL553"/>
      <c r="NWM553"/>
      <c r="NWN553"/>
      <c r="NWO553"/>
      <c r="NWP553"/>
      <c r="NWQ553"/>
      <c r="NWR553"/>
      <c r="NWS553"/>
      <c r="NWT553"/>
      <c r="NWU553"/>
      <c r="NWV553"/>
      <c r="NWW553"/>
      <c r="NWX553"/>
      <c r="NWY553"/>
      <c r="NWZ553"/>
      <c r="NXA553"/>
      <c r="NXB553"/>
      <c r="NXC553"/>
      <c r="NXD553"/>
      <c r="NXE553"/>
      <c r="NXF553"/>
      <c r="NXG553"/>
      <c r="NXH553"/>
      <c r="NXI553"/>
      <c r="NXJ553"/>
      <c r="NXK553"/>
      <c r="NXL553"/>
      <c r="NXM553"/>
      <c r="NXN553"/>
      <c r="NXO553"/>
      <c r="NXP553"/>
      <c r="NXQ553"/>
      <c r="NXR553"/>
      <c r="NXS553"/>
      <c r="NXT553"/>
      <c r="NXU553"/>
      <c r="NXV553"/>
      <c r="NXW553"/>
      <c r="NXX553"/>
      <c r="NXY553"/>
      <c r="NXZ553"/>
      <c r="NYA553"/>
      <c r="NYB553"/>
      <c r="NYC553"/>
      <c r="NYD553"/>
      <c r="NYE553"/>
      <c r="NYF553"/>
      <c r="NYG553"/>
      <c r="NYH553"/>
      <c r="NYI553"/>
      <c r="NYJ553"/>
      <c r="NYK553"/>
      <c r="NYL553"/>
      <c r="NYM553"/>
      <c r="NYN553"/>
      <c r="NYO553"/>
      <c r="NYP553"/>
      <c r="NYQ553"/>
      <c r="NYR553"/>
      <c r="NYS553"/>
      <c r="NYT553"/>
      <c r="NYU553"/>
      <c r="NYV553"/>
      <c r="NYW553"/>
      <c r="NYX553"/>
      <c r="NYY553"/>
      <c r="NYZ553"/>
      <c r="NZA553"/>
      <c r="NZB553"/>
      <c r="NZC553"/>
      <c r="NZD553"/>
      <c r="NZE553"/>
      <c r="NZF553"/>
      <c r="NZG553"/>
      <c r="NZH553"/>
      <c r="NZI553"/>
      <c r="NZJ553"/>
      <c r="NZK553"/>
      <c r="NZL553"/>
      <c r="NZM553"/>
      <c r="NZN553"/>
      <c r="NZO553"/>
      <c r="NZP553"/>
      <c r="NZQ553"/>
      <c r="NZR553"/>
      <c r="NZS553"/>
      <c r="NZT553"/>
      <c r="NZU553"/>
      <c r="NZV553"/>
      <c r="NZW553"/>
      <c r="NZX553"/>
      <c r="NZY553"/>
      <c r="NZZ553"/>
      <c r="OAA553"/>
      <c r="OAB553"/>
      <c r="OAC553"/>
      <c r="OAD553"/>
      <c r="OAE553"/>
      <c r="OAF553"/>
      <c r="OAG553"/>
      <c r="OAH553"/>
      <c r="OAI553"/>
      <c r="OAJ553"/>
      <c r="OAK553"/>
      <c r="OAL553"/>
      <c r="OAM553"/>
      <c r="OAN553"/>
      <c r="OAO553"/>
      <c r="OAP553"/>
      <c r="OAQ553"/>
      <c r="OAR553"/>
      <c r="OAS553"/>
      <c r="OAT553"/>
      <c r="OAU553"/>
      <c r="OAV553"/>
      <c r="OAW553"/>
      <c r="OAX553"/>
      <c r="OAY553"/>
      <c r="OAZ553"/>
      <c r="OBA553"/>
      <c r="OBB553"/>
      <c r="OBC553"/>
      <c r="OBD553"/>
      <c r="OBE553"/>
      <c r="OBF553"/>
      <c r="OBG553"/>
      <c r="OBH553"/>
      <c r="OBI553"/>
      <c r="OBJ553"/>
      <c r="OBK553"/>
      <c r="OBL553"/>
      <c r="OBM553"/>
      <c r="OBN553"/>
      <c r="OBO553"/>
      <c r="OBP553"/>
      <c r="OBQ553"/>
      <c r="OBR553"/>
      <c r="OBS553"/>
      <c r="OBT553"/>
      <c r="OBU553"/>
      <c r="OBV553"/>
      <c r="OBW553"/>
      <c r="OBX553"/>
      <c r="OBY553"/>
      <c r="OBZ553"/>
      <c r="OCA553"/>
      <c r="OCB553"/>
      <c r="OCC553"/>
      <c r="OCD553"/>
      <c r="OCE553"/>
      <c r="OCF553"/>
      <c r="OCG553"/>
      <c r="OCH553"/>
      <c r="OCI553"/>
      <c r="OCJ553"/>
      <c r="OCK553"/>
      <c r="OCL553"/>
      <c r="OCM553"/>
      <c r="OCN553"/>
      <c r="OCO553"/>
      <c r="OCP553"/>
      <c r="OCQ553"/>
      <c r="OCR553"/>
      <c r="OCS553"/>
      <c r="OCT553"/>
      <c r="OCU553"/>
      <c r="OCV553"/>
      <c r="OCW553"/>
      <c r="OCX553"/>
      <c r="OCY553"/>
      <c r="OCZ553"/>
      <c r="ODA553"/>
      <c r="ODB553"/>
      <c r="ODC553"/>
      <c r="ODD553"/>
      <c r="ODE553"/>
      <c r="ODF553"/>
      <c r="ODG553"/>
      <c r="ODH553"/>
      <c r="ODI553"/>
      <c r="ODJ553"/>
      <c r="ODK553"/>
      <c r="ODL553"/>
      <c r="ODM553"/>
      <c r="ODN553"/>
      <c r="ODO553"/>
      <c r="ODP553"/>
      <c r="ODQ553"/>
      <c r="ODR553"/>
      <c r="ODS553"/>
      <c r="ODT553"/>
      <c r="ODU553"/>
      <c r="ODV553"/>
      <c r="ODW553"/>
      <c r="ODX553"/>
      <c r="ODY553"/>
      <c r="ODZ553"/>
      <c r="OEA553"/>
      <c r="OEB553"/>
      <c r="OEC553"/>
      <c r="OED553"/>
      <c r="OEE553"/>
      <c r="OEF553"/>
      <c r="OEG553"/>
      <c r="OEH553"/>
      <c r="OEI553"/>
      <c r="OEJ553"/>
      <c r="OEK553"/>
      <c r="OEL553"/>
      <c r="OEM553"/>
      <c r="OEN553"/>
      <c r="OEO553"/>
      <c r="OEP553"/>
      <c r="OEQ553"/>
      <c r="OER553"/>
      <c r="OES553"/>
      <c r="OET553"/>
      <c r="OEU553"/>
      <c r="OEV553"/>
      <c r="OEW553"/>
      <c r="OEX553"/>
      <c r="OEY553"/>
      <c r="OEZ553"/>
      <c r="OFA553"/>
      <c r="OFB553"/>
      <c r="OFC553"/>
      <c r="OFD553"/>
      <c r="OFE553"/>
      <c r="OFF553"/>
      <c r="OFG553"/>
      <c r="OFH553"/>
      <c r="OFI553"/>
      <c r="OFJ553"/>
      <c r="OFK553"/>
      <c r="OFL553"/>
      <c r="OFM553"/>
      <c r="OFN553"/>
      <c r="OFO553"/>
      <c r="OFP553"/>
      <c r="OFQ553"/>
      <c r="OFR553"/>
      <c r="OFS553"/>
      <c r="OFT553"/>
      <c r="OFU553"/>
      <c r="OFV553"/>
      <c r="OFW553"/>
      <c r="OFX553"/>
      <c r="OFY553"/>
      <c r="OFZ553"/>
      <c r="OGA553"/>
      <c r="OGB553"/>
      <c r="OGC553"/>
      <c r="OGD553"/>
      <c r="OGE553"/>
      <c r="OGF553"/>
      <c r="OGG553"/>
      <c r="OGH553"/>
      <c r="OGI553"/>
      <c r="OGJ553"/>
      <c r="OGK553"/>
      <c r="OGL553"/>
      <c r="OGM553"/>
      <c r="OGN553"/>
      <c r="OGO553"/>
      <c r="OGP553"/>
      <c r="OGQ553"/>
      <c r="OGR553"/>
      <c r="OGS553"/>
      <c r="OGT553"/>
      <c r="OGU553"/>
      <c r="OGV553"/>
      <c r="OGW553"/>
      <c r="OGX553"/>
      <c r="OGY553"/>
      <c r="OGZ553"/>
      <c r="OHA553"/>
      <c r="OHB553"/>
      <c r="OHC553"/>
      <c r="OHD553"/>
      <c r="OHE553"/>
      <c r="OHF553"/>
      <c r="OHG553"/>
      <c r="OHH553"/>
      <c r="OHI553"/>
      <c r="OHJ553"/>
      <c r="OHK553"/>
      <c r="OHL553"/>
      <c r="OHM553"/>
      <c r="OHN553"/>
      <c r="OHO553"/>
      <c r="OHP553"/>
      <c r="OHQ553"/>
      <c r="OHR553"/>
      <c r="OHS553"/>
      <c r="OHT553"/>
      <c r="OHU553"/>
      <c r="OHV553"/>
      <c r="OHW553"/>
      <c r="OHX553"/>
      <c r="OHY553"/>
      <c r="OHZ553"/>
      <c r="OIA553"/>
      <c r="OIB553"/>
      <c r="OIC553"/>
      <c r="OID553"/>
      <c r="OIE553"/>
      <c r="OIF553"/>
      <c r="OIG553"/>
      <c r="OIH553"/>
      <c r="OII553"/>
      <c r="OIJ553"/>
      <c r="OIK553"/>
      <c r="OIL553"/>
      <c r="OIM553"/>
      <c r="OIN553"/>
      <c r="OIO553"/>
      <c r="OIP553"/>
      <c r="OIQ553"/>
      <c r="OIR553"/>
      <c r="OIS553"/>
      <c r="OIT553"/>
      <c r="OIU553"/>
      <c r="OIV553"/>
      <c r="OIW553"/>
      <c r="OIX553"/>
      <c r="OIY553"/>
      <c r="OIZ553"/>
      <c r="OJA553"/>
      <c r="OJB553"/>
      <c r="OJC553"/>
      <c r="OJD553"/>
      <c r="OJE553"/>
      <c r="OJF553"/>
      <c r="OJG553"/>
      <c r="OJH553"/>
      <c r="OJI553"/>
      <c r="OJJ553"/>
      <c r="OJK553"/>
      <c r="OJL553"/>
      <c r="OJM553"/>
      <c r="OJN553"/>
      <c r="OJO553"/>
      <c r="OJP553"/>
      <c r="OJQ553"/>
      <c r="OJR553"/>
      <c r="OJS553"/>
      <c r="OJT553"/>
      <c r="OJU553"/>
      <c r="OJV553"/>
      <c r="OJW553"/>
      <c r="OJX553"/>
      <c r="OJY553"/>
      <c r="OJZ553"/>
      <c r="OKA553"/>
      <c r="OKB553"/>
      <c r="OKC553"/>
      <c r="OKD553"/>
      <c r="OKE553"/>
      <c r="OKF553"/>
      <c r="OKG553"/>
      <c r="OKH553"/>
      <c r="OKI553"/>
      <c r="OKJ553"/>
      <c r="OKK553"/>
      <c r="OKL553"/>
      <c r="OKM553"/>
      <c r="OKN553"/>
      <c r="OKO553"/>
      <c r="OKP553"/>
      <c r="OKQ553"/>
      <c r="OKR553"/>
      <c r="OKS553"/>
      <c r="OKT553"/>
      <c r="OKU553"/>
      <c r="OKV553"/>
      <c r="OKW553"/>
      <c r="OKX553"/>
      <c r="OKY553"/>
      <c r="OKZ553"/>
      <c r="OLA553"/>
      <c r="OLB553"/>
      <c r="OLC553"/>
      <c r="OLD553"/>
      <c r="OLE553"/>
      <c r="OLF553"/>
      <c r="OLG553"/>
      <c r="OLH553"/>
      <c r="OLI553"/>
      <c r="OLJ553"/>
      <c r="OLK553"/>
      <c r="OLL553"/>
      <c r="OLM553"/>
      <c r="OLN553"/>
      <c r="OLO553"/>
      <c r="OLP553"/>
      <c r="OLQ553"/>
      <c r="OLR553"/>
      <c r="OLS553"/>
      <c r="OLT553"/>
      <c r="OLU553"/>
      <c r="OLV553"/>
      <c r="OLW553"/>
      <c r="OLX553"/>
      <c r="OLY553"/>
      <c r="OLZ553"/>
      <c r="OMA553"/>
      <c r="OMB553"/>
      <c r="OMC553"/>
      <c r="OMD553"/>
      <c r="OME553"/>
      <c r="OMF553"/>
      <c r="OMG553"/>
      <c r="OMH553"/>
      <c r="OMI553"/>
      <c r="OMJ553"/>
      <c r="OMK553"/>
      <c r="OML553"/>
      <c r="OMM553"/>
      <c r="OMN553"/>
      <c r="OMO553"/>
      <c r="OMP553"/>
      <c r="OMQ553"/>
      <c r="OMR553"/>
      <c r="OMS553"/>
      <c r="OMT553"/>
      <c r="OMU553"/>
      <c r="OMV553"/>
      <c r="OMW553"/>
      <c r="OMX553"/>
      <c r="OMY553"/>
      <c r="OMZ553"/>
      <c r="ONA553"/>
      <c r="ONB553"/>
      <c r="ONC553"/>
      <c r="OND553"/>
      <c r="ONE553"/>
      <c r="ONF553"/>
      <c r="ONG553"/>
      <c r="ONH553"/>
      <c r="ONI553"/>
      <c r="ONJ553"/>
      <c r="ONK553"/>
      <c r="ONL553"/>
      <c r="ONM553"/>
      <c r="ONN553"/>
      <c r="ONO553"/>
      <c r="ONP553"/>
      <c r="ONQ553"/>
      <c r="ONR553"/>
      <c r="ONS553"/>
      <c r="ONT553"/>
      <c r="ONU553"/>
      <c r="ONV553"/>
      <c r="ONW553"/>
      <c r="ONX553"/>
      <c r="ONY553"/>
      <c r="ONZ553"/>
      <c r="OOA553"/>
      <c r="OOB553"/>
      <c r="OOC553"/>
      <c r="OOD553"/>
      <c r="OOE553"/>
      <c r="OOF553"/>
      <c r="OOG553"/>
      <c r="OOH553"/>
      <c r="OOI553"/>
      <c r="OOJ553"/>
      <c r="OOK553"/>
      <c r="OOL553"/>
      <c r="OOM553"/>
      <c r="OON553"/>
      <c r="OOO553"/>
      <c r="OOP553"/>
      <c r="OOQ553"/>
      <c r="OOR553"/>
      <c r="OOS553"/>
      <c r="OOT553"/>
      <c r="OOU553"/>
      <c r="OOV553"/>
      <c r="OOW553"/>
      <c r="OOX553"/>
      <c r="OOY553"/>
      <c r="OOZ553"/>
      <c r="OPA553"/>
      <c r="OPB553"/>
      <c r="OPC553"/>
      <c r="OPD553"/>
      <c r="OPE553"/>
      <c r="OPF553"/>
      <c r="OPG553"/>
      <c r="OPH553"/>
      <c r="OPI553"/>
      <c r="OPJ553"/>
      <c r="OPK553"/>
      <c r="OPL553"/>
      <c r="OPM553"/>
      <c r="OPN553"/>
      <c r="OPO553"/>
      <c r="OPP553"/>
      <c r="OPQ553"/>
      <c r="OPR553"/>
      <c r="OPS553"/>
      <c r="OPT553"/>
      <c r="OPU553"/>
      <c r="OPV553"/>
      <c r="OPW553"/>
      <c r="OPX553"/>
      <c r="OPY553"/>
      <c r="OPZ553"/>
      <c r="OQA553"/>
      <c r="OQB553"/>
      <c r="OQC553"/>
      <c r="OQD553"/>
      <c r="OQE553"/>
      <c r="OQF553"/>
      <c r="OQG553"/>
      <c r="OQH553"/>
      <c r="OQI553"/>
      <c r="OQJ553"/>
      <c r="OQK553"/>
      <c r="OQL553"/>
      <c r="OQM553"/>
      <c r="OQN553"/>
      <c r="OQO553"/>
      <c r="OQP553"/>
      <c r="OQQ553"/>
      <c r="OQR553"/>
      <c r="OQS553"/>
      <c r="OQT553"/>
      <c r="OQU553"/>
      <c r="OQV553"/>
      <c r="OQW553"/>
      <c r="OQX553"/>
      <c r="OQY553"/>
      <c r="OQZ553"/>
      <c r="ORA553"/>
      <c r="ORB553"/>
      <c r="ORC553"/>
      <c r="ORD553"/>
      <c r="ORE553"/>
      <c r="ORF553"/>
      <c r="ORG553"/>
      <c r="ORH553"/>
      <c r="ORI553"/>
      <c r="ORJ553"/>
      <c r="ORK553"/>
      <c r="ORL553"/>
      <c r="ORM553"/>
      <c r="ORN553"/>
      <c r="ORO553"/>
      <c r="ORP553"/>
      <c r="ORQ553"/>
      <c r="ORR553"/>
      <c r="ORS553"/>
      <c r="ORT553"/>
      <c r="ORU553"/>
      <c r="ORV553"/>
      <c r="ORW553"/>
      <c r="ORX553"/>
      <c r="ORY553"/>
      <c r="ORZ553"/>
      <c r="OSA553"/>
      <c r="OSB553"/>
      <c r="OSC553"/>
      <c r="OSD553"/>
      <c r="OSE553"/>
      <c r="OSF553"/>
      <c r="OSG553"/>
      <c r="OSH553"/>
      <c r="OSI553"/>
      <c r="OSJ553"/>
      <c r="OSK553"/>
      <c r="OSL553"/>
      <c r="OSM553"/>
      <c r="OSN553"/>
      <c r="OSO553"/>
      <c r="OSP553"/>
      <c r="OSQ553"/>
      <c r="OSR553"/>
      <c r="OSS553"/>
      <c r="OST553"/>
      <c r="OSU553"/>
      <c r="OSV553"/>
      <c r="OSW553"/>
      <c r="OSX553"/>
      <c r="OSY553"/>
      <c r="OSZ553"/>
      <c r="OTA553"/>
      <c r="OTB553"/>
      <c r="OTC553"/>
      <c r="OTD553"/>
      <c r="OTE553"/>
      <c r="OTF553"/>
      <c r="OTG553"/>
      <c r="OTH553"/>
      <c r="OTI553"/>
      <c r="OTJ553"/>
      <c r="OTK553"/>
      <c r="OTL553"/>
      <c r="OTM553"/>
      <c r="OTN553"/>
      <c r="OTO553"/>
      <c r="OTP553"/>
      <c r="OTQ553"/>
      <c r="OTR553"/>
      <c r="OTS553"/>
      <c r="OTT553"/>
      <c r="OTU553"/>
      <c r="OTV553"/>
      <c r="OTW553"/>
      <c r="OTX553"/>
      <c r="OTY553"/>
      <c r="OTZ553"/>
      <c r="OUA553"/>
      <c r="OUB553"/>
      <c r="OUC553"/>
      <c r="OUD553"/>
      <c r="OUE553"/>
      <c r="OUF553"/>
      <c r="OUG553"/>
      <c r="OUH553"/>
      <c r="OUI553"/>
      <c r="OUJ553"/>
      <c r="OUK553"/>
      <c r="OUL553"/>
      <c r="OUM553"/>
      <c r="OUN553"/>
      <c r="OUO553"/>
      <c r="OUP553"/>
      <c r="OUQ553"/>
      <c r="OUR553"/>
      <c r="OUS553"/>
      <c r="OUT553"/>
      <c r="OUU553"/>
      <c r="OUV553"/>
      <c r="OUW553"/>
      <c r="OUX553"/>
      <c r="OUY553"/>
      <c r="OUZ553"/>
      <c r="OVA553"/>
      <c r="OVB553"/>
      <c r="OVC553"/>
      <c r="OVD553"/>
      <c r="OVE553"/>
      <c r="OVF553"/>
      <c r="OVG553"/>
      <c r="OVH553"/>
      <c r="OVI553"/>
      <c r="OVJ553"/>
      <c r="OVK553"/>
      <c r="OVL553"/>
      <c r="OVM553"/>
      <c r="OVN553"/>
      <c r="OVO553"/>
      <c r="OVP553"/>
      <c r="OVQ553"/>
      <c r="OVR553"/>
      <c r="OVS553"/>
      <c r="OVT553"/>
      <c r="OVU553"/>
      <c r="OVV553"/>
      <c r="OVW553"/>
      <c r="OVX553"/>
      <c r="OVY553"/>
      <c r="OVZ553"/>
      <c r="OWA553"/>
      <c r="OWB553"/>
      <c r="OWC553"/>
      <c r="OWD553"/>
      <c r="OWE553"/>
      <c r="OWF553"/>
      <c r="OWG553"/>
      <c r="OWH553"/>
      <c r="OWI553"/>
      <c r="OWJ553"/>
      <c r="OWK553"/>
      <c r="OWL553"/>
      <c r="OWM553"/>
      <c r="OWN553"/>
      <c r="OWO553"/>
      <c r="OWP553"/>
      <c r="OWQ553"/>
      <c r="OWR553"/>
      <c r="OWS553"/>
      <c r="OWT553"/>
      <c r="OWU553"/>
      <c r="OWV553"/>
      <c r="OWW553"/>
      <c r="OWX553"/>
      <c r="OWY553"/>
      <c r="OWZ553"/>
      <c r="OXA553"/>
      <c r="OXB553"/>
      <c r="OXC553"/>
      <c r="OXD553"/>
      <c r="OXE553"/>
      <c r="OXF553"/>
      <c r="OXG553"/>
      <c r="OXH553"/>
      <c r="OXI553"/>
      <c r="OXJ553"/>
      <c r="OXK553"/>
      <c r="OXL553"/>
      <c r="OXM553"/>
      <c r="OXN553"/>
      <c r="OXO553"/>
      <c r="OXP553"/>
      <c r="OXQ553"/>
      <c r="OXR553"/>
      <c r="OXS553"/>
      <c r="OXT553"/>
      <c r="OXU553"/>
      <c r="OXV553"/>
      <c r="OXW553"/>
      <c r="OXX553"/>
      <c r="OXY553"/>
      <c r="OXZ553"/>
      <c r="OYA553"/>
      <c r="OYB553"/>
      <c r="OYC553"/>
      <c r="OYD553"/>
      <c r="OYE553"/>
      <c r="OYF553"/>
      <c r="OYG553"/>
      <c r="OYH553"/>
      <c r="OYI553"/>
      <c r="OYJ553"/>
      <c r="OYK553"/>
      <c r="OYL553"/>
      <c r="OYM553"/>
      <c r="OYN553"/>
      <c r="OYO553"/>
      <c r="OYP553"/>
      <c r="OYQ553"/>
      <c r="OYR553"/>
      <c r="OYS553"/>
      <c r="OYT553"/>
      <c r="OYU553"/>
      <c r="OYV553"/>
      <c r="OYW553"/>
      <c r="OYX553"/>
      <c r="OYY553"/>
      <c r="OYZ553"/>
      <c r="OZA553"/>
      <c r="OZB553"/>
      <c r="OZC553"/>
      <c r="OZD553"/>
      <c r="OZE553"/>
      <c r="OZF553"/>
      <c r="OZG553"/>
      <c r="OZH553"/>
      <c r="OZI553"/>
      <c r="OZJ553"/>
      <c r="OZK553"/>
      <c r="OZL553"/>
      <c r="OZM553"/>
      <c r="OZN553"/>
      <c r="OZO553"/>
      <c r="OZP553"/>
      <c r="OZQ553"/>
      <c r="OZR553"/>
      <c r="OZS553"/>
      <c r="OZT553"/>
      <c r="OZU553"/>
      <c r="OZV553"/>
      <c r="OZW553"/>
      <c r="OZX553"/>
      <c r="OZY553"/>
      <c r="OZZ553"/>
      <c r="PAA553"/>
      <c r="PAB553"/>
      <c r="PAC553"/>
      <c r="PAD553"/>
      <c r="PAE553"/>
      <c r="PAF553"/>
      <c r="PAG553"/>
      <c r="PAH553"/>
      <c r="PAI553"/>
      <c r="PAJ553"/>
      <c r="PAK553"/>
      <c r="PAL553"/>
      <c r="PAM553"/>
      <c r="PAN553"/>
      <c r="PAO553"/>
      <c r="PAP553"/>
      <c r="PAQ553"/>
      <c r="PAR553"/>
      <c r="PAS553"/>
      <c r="PAT553"/>
      <c r="PAU553"/>
      <c r="PAV553"/>
      <c r="PAW553"/>
      <c r="PAX553"/>
      <c r="PAY553"/>
      <c r="PAZ553"/>
      <c r="PBA553"/>
      <c r="PBB553"/>
      <c r="PBC553"/>
      <c r="PBD553"/>
      <c r="PBE553"/>
      <c r="PBF553"/>
      <c r="PBG553"/>
      <c r="PBH553"/>
      <c r="PBI553"/>
      <c r="PBJ553"/>
      <c r="PBK553"/>
      <c r="PBL553"/>
      <c r="PBM553"/>
      <c r="PBN553"/>
      <c r="PBO553"/>
      <c r="PBP553"/>
      <c r="PBQ553"/>
      <c r="PBR553"/>
      <c r="PBS553"/>
      <c r="PBT553"/>
      <c r="PBU553"/>
      <c r="PBV553"/>
      <c r="PBW553"/>
      <c r="PBX553"/>
      <c r="PBY553"/>
      <c r="PBZ553"/>
      <c r="PCA553"/>
      <c r="PCB553"/>
      <c r="PCC553"/>
      <c r="PCD553"/>
      <c r="PCE553"/>
      <c r="PCF553"/>
      <c r="PCG553"/>
      <c r="PCH553"/>
      <c r="PCI553"/>
      <c r="PCJ553"/>
      <c r="PCK553"/>
      <c r="PCL553"/>
      <c r="PCM553"/>
      <c r="PCN553"/>
      <c r="PCO553"/>
      <c r="PCP553"/>
      <c r="PCQ553"/>
      <c r="PCR553"/>
      <c r="PCS553"/>
      <c r="PCT553"/>
      <c r="PCU553"/>
      <c r="PCV553"/>
      <c r="PCW553"/>
      <c r="PCX553"/>
      <c r="PCY553"/>
      <c r="PCZ553"/>
      <c r="PDA553"/>
      <c r="PDB553"/>
      <c r="PDC553"/>
      <c r="PDD553"/>
      <c r="PDE553"/>
      <c r="PDF553"/>
      <c r="PDG553"/>
      <c r="PDH553"/>
      <c r="PDI553"/>
      <c r="PDJ553"/>
      <c r="PDK553"/>
      <c r="PDL553"/>
      <c r="PDM553"/>
      <c r="PDN553"/>
      <c r="PDO553"/>
      <c r="PDP553"/>
      <c r="PDQ553"/>
      <c r="PDR553"/>
      <c r="PDS553"/>
      <c r="PDT553"/>
      <c r="PDU553"/>
      <c r="PDV553"/>
      <c r="PDW553"/>
      <c r="PDX553"/>
      <c r="PDY553"/>
      <c r="PDZ553"/>
      <c r="PEA553"/>
      <c r="PEB553"/>
      <c r="PEC553"/>
      <c r="PED553"/>
      <c r="PEE553"/>
      <c r="PEF553"/>
      <c r="PEG553"/>
      <c r="PEH553"/>
      <c r="PEI553"/>
      <c r="PEJ553"/>
      <c r="PEK553"/>
      <c r="PEL553"/>
      <c r="PEM553"/>
      <c r="PEN553"/>
      <c r="PEO553"/>
      <c r="PEP553"/>
      <c r="PEQ553"/>
      <c r="PER553"/>
      <c r="PES553"/>
      <c r="PET553"/>
      <c r="PEU553"/>
      <c r="PEV553"/>
      <c r="PEW553"/>
      <c r="PEX553"/>
      <c r="PEY553"/>
      <c r="PEZ553"/>
      <c r="PFA553"/>
      <c r="PFB553"/>
      <c r="PFC553"/>
      <c r="PFD553"/>
      <c r="PFE553"/>
      <c r="PFF553"/>
      <c r="PFG553"/>
      <c r="PFH553"/>
      <c r="PFI553"/>
      <c r="PFJ553"/>
      <c r="PFK553"/>
      <c r="PFL553"/>
      <c r="PFM553"/>
      <c r="PFN553"/>
      <c r="PFO553"/>
      <c r="PFP553"/>
      <c r="PFQ553"/>
      <c r="PFR553"/>
      <c r="PFS553"/>
      <c r="PFT553"/>
      <c r="PFU553"/>
      <c r="PFV553"/>
      <c r="PFW553"/>
      <c r="PFX553"/>
      <c r="PFY553"/>
      <c r="PFZ553"/>
      <c r="PGA553"/>
      <c r="PGB553"/>
      <c r="PGC553"/>
      <c r="PGD553"/>
      <c r="PGE553"/>
      <c r="PGF553"/>
      <c r="PGG553"/>
      <c r="PGH553"/>
      <c r="PGI553"/>
      <c r="PGJ553"/>
      <c r="PGK553"/>
      <c r="PGL553"/>
      <c r="PGM553"/>
      <c r="PGN553"/>
      <c r="PGO553"/>
      <c r="PGP553"/>
      <c r="PGQ553"/>
      <c r="PGR553"/>
      <c r="PGS553"/>
      <c r="PGT553"/>
      <c r="PGU553"/>
      <c r="PGV553"/>
      <c r="PGW553"/>
      <c r="PGX553"/>
      <c r="PGY553"/>
      <c r="PGZ553"/>
      <c r="PHA553"/>
      <c r="PHB553"/>
      <c r="PHC553"/>
      <c r="PHD553"/>
      <c r="PHE553"/>
      <c r="PHF553"/>
      <c r="PHG553"/>
      <c r="PHH553"/>
      <c r="PHI553"/>
      <c r="PHJ553"/>
      <c r="PHK553"/>
      <c r="PHL553"/>
      <c r="PHM553"/>
      <c r="PHN553"/>
      <c r="PHO553"/>
      <c r="PHP553"/>
      <c r="PHQ553"/>
      <c r="PHR553"/>
      <c r="PHS553"/>
      <c r="PHT553"/>
      <c r="PHU553"/>
      <c r="PHV553"/>
      <c r="PHW553"/>
      <c r="PHX553"/>
      <c r="PHY553"/>
      <c r="PHZ553"/>
      <c r="PIA553"/>
      <c r="PIB553"/>
      <c r="PIC553"/>
      <c r="PID553"/>
      <c r="PIE553"/>
      <c r="PIF553"/>
      <c r="PIG553"/>
      <c r="PIH553"/>
      <c r="PII553"/>
      <c r="PIJ553"/>
      <c r="PIK553"/>
      <c r="PIL553"/>
      <c r="PIM553"/>
      <c r="PIN553"/>
      <c r="PIO553"/>
      <c r="PIP553"/>
      <c r="PIQ553"/>
      <c r="PIR553"/>
      <c r="PIS553"/>
      <c r="PIT553"/>
      <c r="PIU553"/>
      <c r="PIV553"/>
      <c r="PIW553"/>
      <c r="PIX553"/>
      <c r="PIY553"/>
      <c r="PIZ553"/>
      <c r="PJA553"/>
      <c r="PJB553"/>
      <c r="PJC553"/>
      <c r="PJD553"/>
      <c r="PJE553"/>
      <c r="PJF553"/>
      <c r="PJG553"/>
      <c r="PJH553"/>
      <c r="PJI553"/>
      <c r="PJJ553"/>
      <c r="PJK553"/>
      <c r="PJL553"/>
      <c r="PJM553"/>
      <c r="PJN553"/>
      <c r="PJO553"/>
      <c r="PJP553"/>
      <c r="PJQ553"/>
      <c r="PJR553"/>
      <c r="PJS553"/>
      <c r="PJT553"/>
      <c r="PJU553"/>
      <c r="PJV553"/>
      <c r="PJW553"/>
      <c r="PJX553"/>
      <c r="PJY553"/>
      <c r="PJZ553"/>
      <c r="PKA553"/>
      <c r="PKB553"/>
      <c r="PKC553"/>
      <c r="PKD553"/>
      <c r="PKE553"/>
      <c r="PKF553"/>
      <c r="PKG553"/>
      <c r="PKH553"/>
      <c r="PKI553"/>
      <c r="PKJ553"/>
      <c r="PKK553"/>
      <c r="PKL553"/>
      <c r="PKM553"/>
      <c r="PKN553"/>
      <c r="PKO553"/>
      <c r="PKP553"/>
      <c r="PKQ553"/>
      <c r="PKR553"/>
      <c r="PKS553"/>
      <c r="PKT553"/>
      <c r="PKU553"/>
      <c r="PKV553"/>
      <c r="PKW553"/>
      <c r="PKX553"/>
      <c r="PKY553"/>
      <c r="PKZ553"/>
      <c r="PLA553"/>
      <c r="PLB553"/>
      <c r="PLC553"/>
      <c r="PLD553"/>
      <c r="PLE553"/>
      <c r="PLF553"/>
      <c r="PLG553"/>
      <c r="PLH553"/>
      <c r="PLI553"/>
      <c r="PLJ553"/>
      <c r="PLK553"/>
      <c r="PLL553"/>
      <c r="PLM553"/>
      <c r="PLN553"/>
      <c r="PLO553"/>
      <c r="PLP553"/>
      <c r="PLQ553"/>
      <c r="PLR553"/>
      <c r="PLS553"/>
      <c r="PLT553"/>
      <c r="PLU553"/>
      <c r="PLV553"/>
      <c r="PLW553"/>
      <c r="PLX553"/>
      <c r="PLY553"/>
      <c r="PLZ553"/>
      <c r="PMA553"/>
      <c r="PMB553"/>
      <c r="PMC553"/>
      <c r="PMD553"/>
      <c r="PME553"/>
      <c r="PMF553"/>
      <c r="PMG553"/>
      <c r="PMH553"/>
      <c r="PMI553"/>
      <c r="PMJ553"/>
      <c r="PMK553"/>
      <c r="PML553"/>
      <c r="PMM553"/>
      <c r="PMN553"/>
      <c r="PMO553"/>
      <c r="PMP553"/>
      <c r="PMQ553"/>
      <c r="PMR553"/>
      <c r="PMS553"/>
      <c r="PMT553"/>
      <c r="PMU553"/>
      <c r="PMV553"/>
      <c r="PMW553"/>
      <c r="PMX553"/>
      <c r="PMY553"/>
      <c r="PMZ553"/>
      <c r="PNA553"/>
      <c r="PNB553"/>
      <c r="PNC553"/>
      <c r="PND553"/>
      <c r="PNE553"/>
      <c r="PNF553"/>
      <c r="PNG553"/>
      <c r="PNH553"/>
      <c r="PNI553"/>
      <c r="PNJ553"/>
      <c r="PNK553"/>
      <c r="PNL553"/>
      <c r="PNM553"/>
      <c r="PNN553"/>
      <c r="PNO553"/>
      <c r="PNP553"/>
      <c r="PNQ553"/>
      <c r="PNR553"/>
      <c r="PNS553"/>
      <c r="PNT553"/>
      <c r="PNU553"/>
      <c r="PNV553"/>
      <c r="PNW553"/>
      <c r="PNX553"/>
      <c r="PNY553"/>
      <c r="PNZ553"/>
      <c r="POA553"/>
      <c r="POB553"/>
      <c r="POC553"/>
      <c r="POD553"/>
      <c r="POE553"/>
      <c r="POF553"/>
      <c r="POG553"/>
      <c r="POH553"/>
      <c r="POI553"/>
      <c r="POJ553"/>
      <c r="POK553"/>
      <c r="POL553"/>
      <c r="POM553"/>
      <c r="PON553"/>
      <c r="POO553"/>
      <c r="POP553"/>
      <c r="POQ553"/>
      <c r="POR553"/>
      <c r="POS553"/>
      <c r="POT553"/>
      <c r="POU553"/>
      <c r="POV553"/>
      <c r="POW553"/>
      <c r="POX553"/>
      <c r="POY553"/>
      <c r="POZ553"/>
      <c r="PPA553"/>
      <c r="PPB553"/>
      <c r="PPC553"/>
      <c r="PPD553"/>
      <c r="PPE553"/>
      <c r="PPF553"/>
      <c r="PPG553"/>
      <c r="PPH553"/>
      <c r="PPI553"/>
      <c r="PPJ553"/>
      <c r="PPK553"/>
      <c r="PPL553"/>
      <c r="PPM553"/>
      <c r="PPN553"/>
      <c r="PPO553"/>
      <c r="PPP553"/>
      <c r="PPQ553"/>
      <c r="PPR553"/>
      <c r="PPS553"/>
      <c r="PPT553"/>
      <c r="PPU553"/>
      <c r="PPV553"/>
      <c r="PPW553"/>
      <c r="PPX553"/>
      <c r="PPY553"/>
      <c r="PPZ553"/>
      <c r="PQA553"/>
      <c r="PQB553"/>
      <c r="PQC553"/>
      <c r="PQD553"/>
      <c r="PQE553"/>
      <c r="PQF553"/>
      <c r="PQG553"/>
      <c r="PQH553"/>
      <c r="PQI553"/>
      <c r="PQJ553"/>
      <c r="PQK553"/>
      <c r="PQL553"/>
      <c r="PQM553"/>
      <c r="PQN553"/>
      <c r="PQO553"/>
      <c r="PQP553"/>
      <c r="PQQ553"/>
      <c r="PQR553"/>
      <c r="PQS553"/>
      <c r="PQT553"/>
      <c r="PQU553"/>
      <c r="PQV553"/>
      <c r="PQW553"/>
      <c r="PQX553"/>
      <c r="PQY553"/>
      <c r="PQZ553"/>
      <c r="PRA553"/>
      <c r="PRB553"/>
      <c r="PRC553"/>
      <c r="PRD553"/>
      <c r="PRE553"/>
      <c r="PRF553"/>
      <c r="PRG553"/>
      <c r="PRH553"/>
      <c r="PRI553"/>
      <c r="PRJ553"/>
      <c r="PRK553"/>
      <c r="PRL553"/>
      <c r="PRM553"/>
      <c r="PRN553"/>
      <c r="PRO553"/>
      <c r="PRP553"/>
      <c r="PRQ553"/>
      <c r="PRR553"/>
      <c r="PRS553"/>
      <c r="PRT553"/>
      <c r="PRU553"/>
      <c r="PRV553"/>
      <c r="PRW553"/>
      <c r="PRX553"/>
      <c r="PRY553"/>
      <c r="PRZ553"/>
      <c r="PSA553"/>
      <c r="PSB553"/>
      <c r="PSC553"/>
      <c r="PSD553"/>
      <c r="PSE553"/>
      <c r="PSF553"/>
      <c r="PSG553"/>
      <c r="PSH553"/>
      <c r="PSI553"/>
      <c r="PSJ553"/>
      <c r="PSK553"/>
      <c r="PSL553"/>
      <c r="PSM553"/>
      <c r="PSN553"/>
      <c r="PSO553"/>
      <c r="PSP553"/>
      <c r="PSQ553"/>
      <c r="PSR553"/>
      <c r="PSS553"/>
      <c r="PST553"/>
      <c r="PSU553"/>
      <c r="PSV553"/>
      <c r="PSW553"/>
      <c r="PSX553"/>
      <c r="PSY553"/>
      <c r="PSZ553"/>
      <c r="PTA553"/>
      <c r="PTB553"/>
      <c r="PTC553"/>
      <c r="PTD553"/>
      <c r="PTE553"/>
      <c r="PTF553"/>
      <c r="PTG553"/>
      <c r="PTH553"/>
      <c r="PTI553"/>
      <c r="PTJ553"/>
      <c r="PTK553"/>
      <c r="PTL553"/>
      <c r="PTM553"/>
      <c r="PTN553"/>
      <c r="PTO553"/>
      <c r="PTP553"/>
      <c r="PTQ553"/>
      <c r="PTR553"/>
      <c r="PTS553"/>
      <c r="PTT553"/>
      <c r="PTU553"/>
      <c r="PTV553"/>
      <c r="PTW553"/>
      <c r="PTX553"/>
      <c r="PTY553"/>
      <c r="PTZ553"/>
      <c r="PUA553"/>
      <c r="PUB553"/>
      <c r="PUC553"/>
      <c r="PUD553"/>
      <c r="PUE553"/>
      <c r="PUF553"/>
      <c r="PUG553"/>
      <c r="PUH553"/>
      <c r="PUI553"/>
      <c r="PUJ553"/>
      <c r="PUK553"/>
      <c r="PUL553"/>
      <c r="PUM553"/>
      <c r="PUN553"/>
      <c r="PUO553"/>
      <c r="PUP553"/>
      <c r="PUQ553"/>
      <c r="PUR553"/>
      <c r="PUS553"/>
      <c r="PUT553"/>
      <c r="PUU553"/>
      <c r="PUV553"/>
      <c r="PUW553"/>
      <c r="PUX553"/>
      <c r="PUY553"/>
      <c r="PUZ553"/>
      <c r="PVA553"/>
      <c r="PVB553"/>
      <c r="PVC553"/>
      <c r="PVD553"/>
      <c r="PVE553"/>
      <c r="PVF553"/>
      <c r="PVG553"/>
      <c r="PVH553"/>
      <c r="PVI553"/>
      <c r="PVJ553"/>
      <c r="PVK553"/>
      <c r="PVL553"/>
      <c r="PVM553"/>
      <c r="PVN553"/>
      <c r="PVO553"/>
      <c r="PVP553"/>
      <c r="PVQ553"/>
      <c r="PVR553"/>
      <c r="PVS553"/>
      <c r="PVT553"/>
      <c r="PVU553"/>
      <c r="PVV553"/>
      <c r="PVW553"/>
      <c r="PVX553"/>
      <c r="PVY553"/>
      <c r="PVZ553"/>
      <c r="PWA553"/>
      <c r="PWB553"/>
      <c r="PWC553"/>
      <c r="PWD553"/>
      <c r="PWE553"/>
      <c r="PWF553"/>
      <c r="PWG553"/>
      <c r="PWH553"/>
      <c r="PWI553"/>
      <c r="PWJ553"/>
      <c r="PWK553"/>
      <c r="PWL553"/>
      <c r="PWM553"/>
      <c r="PWN553"/>
      <c r="PWO553"/>
      <c r="PWP553"/>
      <c r="PWQ553"/>
      <c r="PWR553"/>
      <c r="PWS553"/>
      <c r="PWT553"/>
      <c r="PWU553"/>
      <c r="PWV553"/>
      <c r="PWW553"/>
      <c r="PWX553"/>
      <c r="PWY553"/>
      <c r="PWZ553"/>
      <c r="PXA553"/>
      <c r="PXB553"/>
      <c r="PXC553"/>
      <c r="PXD553"/>
      <c r="PXE553"/>
      <c r="PXF553"/>
      <c r="PXG553"/>
      <c r="PXH553"/>
      <c r="PXI553"/>
      <c r="PXJ553"/>
      <c r="PXK553"/>
      <c r="PXL553"/>
      <c r="PXM553"/>
      <c r="PXN553"/>
      <c r="PXO553"/>
      <c r="PXP553"/>
      <c r="PXQ553"/>
      <c r="PXR553"/>
      <c r="PXS553"/>
      <c r="PXT553"/>
      <c r="PXU553"/>
      <c r="PXV553"/>
      <c r="PXW553"/>
      <c r="PXX553"/>
      <c r="PXY553"/>
      <c r="PXZ553"/>
      <c r="PYA553"/>
      <c r="PYB553"/>
      <c r="PYC553"/>
      <c r="PYD553"/>
      <c r="PYE553"/>
      <c r="PYF553"/>
      <c r="PYG553"/>
      <c r="PYH553"/>
      <c r="PYI553"/>
      <c r="PYJ553"/>
      <c r="PYK553"/>
      <c r="PYL553"/>
      <c r="PYM553"/>
      <c r="PYN553"/>
      <c r="PYO553"/>
      <c r="PYP553"/>
      <c r="PYQ553"/>
      <c r="PYR553"/>
      <c r="PYS553"/>
      <c r="PYT553"/>
      <c r="PYU553"/>
      <c r="PYV553"/>
      <c r="PYW553"/>
      <c r="PYX553"/>
      <c r="PYY553"/>
      <c r="PYZ553"/>
      <c r="PZA553"/>
      <c r="PZB553"/>
      <c r="PZC553"/>
      <c r="PZD553"/>
      <c r="PZE553"/>
      <c r="PZF553"/>
      <c r="PZG553"/>
      <c r="PZH553"/>
      <c r="PZI553"/>
      <c r="PZJ553"/>
      <c r="PZK553"/>
      <c r="PZL553"/>
      <c r="PZM553"/>
      <c r="PZN553"/>
      <c r="PZO553"/>
      <c r="PZP553"/>
      <c r="PZQ553"/>
      <c r="PZR553"/>
      <c r="PZS553"/>
      <c r="PZT553"/>
      <c r="PZU553"/>
      <c r="PZV553"/>
      <c r="PZW553"/>
      <c r="PZX553"/>
      <c r="PZY553"/>
      <c r="PZZ553"/>
      <c r="QAA553"/>
      <c r="QAB553"/>
      <c r="QAC553"/>
      <c r="QAD553"/>
      <c r="QAE553"/>
      <c r="QAF553"/>
      <c r="QAG553"/>
      <c r="QAH553"/>
      <c r="QAI553"/>
      <c r="QAJ553"/>
      <c r="QAK553"/>
      <c r="QAL553"/>
      <c r="QAM553"/>
      <c r="QAN553"/>
      <c r="QAO553"/>
      <c r="QAP553"/>
      <c r="QAQ553"/>
      <c r="QAR553"/>
      <c r="QAS553"/>
      <c r="QAT553"/>
      <c r="QAU553"/>
      <c r="QAV553"/>
      <c r="QAW553"/>
      <c r="QAX553"/>
      <c r="QAY553"/>
      <c r="QAZ553"/>
      <c r="QBA553"/>
      <c r="QBB553"/>
      <c r="QBC553"/>
      <c r="QBD553"/>
      <c r="QBE553"/>
      <c r="QBF553"/>
      <c r="QBG553"/>
      <c r="QBH553"/>
      <c r="QBI553"/>
      <c r="QBJ553"/>
      <c r="QBK553"/>
      <c r="QBL553"/>
      <c r="QBM553"/>
      <c r="QBN553"/>
      <c r="QBO553"/>
      <c r="QBP553"/>
      <c r="QBQ553"/>
      <c r="QBR553"/>
      <c r="QBS553"/>
      <c r="QBT553"/>
      <c r="QBU553"/>
      <c r="QBV553"/>
      <c r="QBW553"/>
      <c r="QBX553"/>
      <c r="QBY553"/>
      <c r="QBZ553"/>
      <c r="QCA553"/>
      <c r="QCB553"/>
      <c r="QCC553"/>
      <c r="QCD553"/>
      <c r="QCE553"/>
      <c r="QCF553"/>
      <c r="QCG553"/>
      <c r="QCH553"/>
      <c r="QCI553"/>
      <c r="QCJ553"/>
      <c r="QCK553"/>
      <c r="QCL553"/>
      <c r="QCM553"/>
      <c r="QCN553"/>
      <c r="QCO553"/>
      <c r="QCP553"/>
      <c r="QCQ553"/>
      <c r="QCR553"/>
      <c r="QCS553"/>
      <c r="QCT553"/>
      <c r="QCU553"/>
      <c r="QCV553"/>
      <c r="QCW553"/>
      <c r="QCX553"/>
      <c r="QCY553"/>
      <c r="QCZ553"/>
      <c r="QDA553"/>
      <c r="QDB553"/>
      <c r="QDC553"/>
      <c r="QDD553"/>
      <c r="QDE553"/>
      <c r="QDF553"/>
      <c r="QDG553"/>
      <c r="QDH553"/>
      <c r="QDI553"/>
      <c r="QDJ553"/>
      <c r="QDK553"/>
      <c r="QDL553"/>
      <c r="QDM553"/>
      <c r="QDN553"/>
      <c r="QDO553"/>
      <c r="QDP553"/>
      <c r="QDQ553"/>
      <c r="QDR553"/>
      <c r="QDS553"/>
      <c r="QDT553"/>
      <c r="QDU553"/>
      <c r="QDV553"/>
      <c r="QDW553"/>
      <c r="QDX553"/>
      <c r="QDY553"/>
      <c r="QDZ553"/>
      <c r="QEA553"/>
      <c r="QEB553"/>
      <c r="QEC553"/>
      <c r="QED553"/>
      <c r="QEE553"/>
      <c r="QEF553"/>
      <c r="QEG553"/>
      <c r="QEH553"/>
      <c r="QEI553"/>
      <c r="QEJ553"/>
      <c r="QEK553"/>
      <c r="QEL553"/>
      <c r="QEM553"/>
      <c r="QEN553"/>
      <c r="QEO553"/>
      <c r="QEP553"/>
      <c r="QEQ553"/>
      <c r="QER553"/>
      <c r="QES553"/>
      <c r="QET553"/>
      <c r="QEU553"/>
      <c r="QEV553"/>
      <c r="QEW553"/>
      <c r="QEX553"/>
      <c r="QEY553"/>
      <c r="QEZ553"/>
      <c r="QFA553"/>
      <c r="QFB553"/>
      <c r="QFC553"/>
      <c r="QFD553"/>
      <c r="QFE553"/>
      <c r="QFF553"/>
      <c r="QFG553"/>
      <c r="QFH553"/>
      <c r="QFI553"/>
      <c r="QFJ553"/>
      <c r="QFK553"/>
      <c r="QFL553"/>
      <c r="QFM553"/>
      <c r="QFN553"/>
      <c r="QFO553"/>
      <c r="QFP553"/>
      <c r="QFQ553"/>
      <c r="QFR553"/>
      <c r="QFS553"/>
      <c r="QFT553"/>
      <c r="QFU553"/>
      <c r="QFV553"/>
      <c r="QFW553"/>
      <c r="QFX553"/>
      <c r="QFY553"/>
      <c r="QFZ553"/>
      <c r="QGA553"/>
      <c r="QGB553"/>
      <c r="QGC553"/>
      <c r="QGD553"/>
      <c r="QGE553"/>
      <c r="QGF553"/>
      <c r="QGG553"/>
      <c r="QGH553"/>
      <c r="QGI553"/>
      <c r="QGJ553"/>
      <c r="QGK553"/>
      <c r="QGL553"/>
      <c r="QGM553"/>
      <c r="QGN553"/>
      <c r="QGO553"/>
      <c r="QGP553"/>
      <c r="QGQ553"/>
      <c r="QGR553"/>
      <c r="QGS553"/>
      <c r="QGT553"/>
      <c r="QGU553"/>
      <c r="QGV553"/>
      <c r="QGW553"/>
      <c r="QGX553"/>
      <c r="QGY553"/>
      <c r="QGZ553"/>
      <c r="QHA553"/>
      <c r="QHB553"/>
      <c r="QHC553"/>
      <c r="QHD553"/>
      <c r="QHE553"/>
      <c r="QHF553"/>
      <c r="QHG553"/>
      <c r="QHH553"/>
      <c r="QHI553"/>
      <c r="QHJ553"/>
      <c r="QHK553"/>
      <c r="QHL553"/>
      <c r="QHM553"/>
      <c r="QHN553"/>
      <c r="QHO553"/>
      <c r="QHP553"/>
      <c r="QHQ553"/>
      <c r="QHR553"/>
      <c r="QHS553"/>
      <c r="QHT553"/>
      <c r="QHU553"/>
      <c r="QHV553"/>
      <c r="QHW553"/>
      <c r="QHX553"/>
      <c r="QHY553"/>
      <c r="QHZ553"/>
      <c r="QIA553"/>
      <c r="QIB553"/>
      <c r="QIC553"/>
      <c r="QID553"/>
      <c r="QIE553"/>
      <c r="QIF553"/>
      <c r="QIG553"/>
      <c r="QIH553"/>
      <c r="QII553"/>
      <c r="QIJ553"/>
      <c r="QIK553"/>
      <c r="QIL553"/>
      <c r="QIM553"/>
      <c r="QIN553"/>
      <c r="QIO553"/>
      <c r="QIP553"/>
      <c r="QIQ553"/>
      <c r="QIR553"/>
      <c r="QIS553"/>
      <c r="QIT553"/>
      <c r="QIU553"/>
      <c r="QIV553"/>
      <c r="QIW553"/>
      <c r="QIX553"/>
      <c r="QIY553"/>
      <c r="QIZ553"/>
      <c r="QJA553"/>
      <c r="QJB553"/>
      <c r="QJC553"/>
      <c r="QJD553"/>
      <c r="QJE553"/>
      <c r="QJF553"/>
      <c r="QJG553"/>
      <c r="QJH553"/>
      <c r="QJI553"/>
      <c r="QJJ553"/>
      <c r="QJK553"/>
      <c r="QJL553"/>
      <c r="QJM553"/>
      <c r="QJN553"/>
      <c r="QJO553"/>
      <c r="QJP553"/>
      <c r="QJQ553"/>
      <c r="QJR553"/>
      <c r="QJS553"/>
      <c r="QJT553"/>
      <c r="QJU553"/>
      <c r="QJV553"/>
      <c r="QJW553"/>
      <c r="QJX553"/>
      <c r="QJY553"/>
      <c r="QJZ553"/>
      <c r="QKA553"/>
      <c r="QKB553"/>
      <c r="QKC553"/>
      <c r="QKD553"/>
      <c r="QKE553"/>
      <c r="QKF553"/>
      <c r="QKG553"/>
      <c r="QKH553"/>
      <c r="QKI553"/>
      <c r="QKJ553"/>
      <c r="QKK553"/>
      <c r="QKL553"/>
      <c r="QKM553"/>
      <c r="QKN553"/>
      <c r="QKO553"/>
      <c r="QKP553"/>
      <c r="QKQ553"/>
      <c r="QKR553"/>
      <c r="QKS553"/>
      <c r="QKT553"/>
      <c r="QKU553"/>
      <c r="QKV553"/>
      <c r="QKW553"/>
      <c r="QKX553"/>
      <c r="QKY553"/>
      <c r="QKZ553"/>
      <c r="QLA553"/>
      <c r="QLB553"/>
      <c r="QLC553"/>
      <c r="QLD553"/>
      <c r="QLE553"/>
      <c r="QLF553"/>
      <c r="QLG553"/>
      <c r="QLH553"/>
      <c r="QLI553"/>
      <c r="QLJ553"/>
      <c r="QLK553"/>
      <c r="QLL553"/>
      <c r="QLM553"/>
      <c r="QLN553"/>
      <c r="QLO553"/>
      <c r="QLP553"/>
      <c r="QLQ553"/>
      <c r="QLR553"/>
      <c r="QLS553"/>
      <c r="QLT553"/>
      <c r="QLU553"/>
      <c r="QLV553"/>
      <c r="QLW553"/>
      <c r="QLX553"/>
      <c r="QLY553"/>
      <c r="QLZ553"/>
      <c r="QMA553"/>
      <c r="QMB553"/>
      <c r="QMC553"/>
      <c r="QMD553"/>
      <c r="QME553"/>
      <c r="QMF553"/>
      <c r="QMG553"/>
      <c r="QMH553"/>
      <c r="QMI553"/>
      <c r="QMJ553"/>
      <c r="QMK553"/>
      <c r="QML553"/>
      <c r="QMM553"/>
      <c r="QMN553"/>
      <c r="QMO553"/>
      <c r="QMP553"/>
      <c r="QMQ553"/>
      <c r="QMR553"/>
      <c r="QMS553"/>
      <c r="QMT553"/>
      <c r="QMU553"/>
      <c r="QMV553"/>
      <c r="QMW553"/>
      <c r="QMX553"/>
      <c r="QMY553"/>
      <c r="QMZ553"/>
      <c r="QNA553"/>
      <c r="QNB553"/>
      <c r="QNC553"/>
      <c r="QND553"/>
      <c r="QNE553"/>
      <c r="QNF553"/>
      <c r="QNG553"/>
      <c r="QNH553"/>
      <c r="QNI553"/>
      <c r="QNJ553"/>
      <c r="QNK553"/>
      <c r="QNL553"/>
      <c r="QNM553"/>
      <c r="QNN553"/>
      <c r="QNO553"/>
      <c r="QNP553"/>
      <c r="QNQ553"/>
      <c r="QNR553"/>
      <c r="QNS553"/>
      <c r="QNT553"/>
      <c r="QNU553"/>
      <c r="QNV553"/>
      <c r="QNW553"/>
      <c r="QNX553"/>
      <c r="QNY553"/>
      <c r="QNZ553"/>
      <c r="QOA553"/>
      <c r="QOB553"/>
      <c r="QOC553"/>
      <c r="QOD553"/>
      <c r="QOE553"/>
      <c r="QOF553"/>
      <c r="QOG553"/>
      <c r="QOH553"/>
      <c r="QOI553"/>
      <c r="QOJ553"/>
      <c r="QOK553"/>
      <c r="QOL553"/>
      <c r="QOM553"/>
      <c r="QON553"/>
      <c r="QOO553"/>
      <c r="QOP553"/>
      <c r="QOQ553"/>
      <c r="QOR553"/>
      <c r="QOS553"/>
      <c r="QOT553"/>
      <c r="QOU553"/>
      <c r="QOV553"/>
      <c r="QOW553"/>
      <c r="QOX553"/>
      <c r="QOY553"/>
      <c r="QOZ553"/>
      <c r="QPA553"/>
      <c r="QPB553"/>
      <c r="QPC553"/>
      <c r="QPD553"/>
      <c r="QPE553"/>
      <c r="QPF553"/>
      <c r="QPG553"/>
      <c r="QPH553"/>
      <c r="QPI553"/>
      <c r="QPJ553"/>
      <c r="QPK553"/>
      <c r="QPL553"/>
      <c r="QPM553"/>
      <c r="QPN553"/>
      <c r="QPO553"/>
      <c r="QPP553"/>
      <c r="QPQ553"/>
      <c r="QPR553"/>
      <c r="QPS553"/>
      <c r="QPT553"/>
      <c r="QPU553"/>
      <c r="QPV553"/>
      <c r="QPW553"/>
      <c r="QPX553"/>
      <c r="QPY553"/>
      <c r="QPZ553"/>
      <c r="QQA553"/>
      <c r="QQB553"/>
      <c r="QQC553"/>
      <c r="QQD553"/>
      <c r="QQE553"/>
      <c r="QQF553"/>
      <c r="QQG553"/>
      <c r="QQH553"/>
      <c r="QQI553"/>
      <c r="QQJ553"/>
      <c r="QQK553"/>
      <c r="QQL553"/>
      <c r="QQM553"/>
      <c r="QQN553"/>
      <c r="QQO553"/>
      <c r="QQP553"/>
      <c r="QQQ553"/>
      <c r="QQR553"/>
      <c r="QQS553"/>
      <c r="QQT553"/>
      <c r="QQU553"/>
      <c r="QQV553"/>
      <c r="QQW553"/>
      <c r="QQX553"/>
      <c r="QQY553"/>
      <c r="QQZ553"/>
      <c r="QRA553"/>
      <c r="QRB553"/>
      <c r="QRC553"/>
      <c r="QRD553"/>
      <c r="QRE553"/>
      <c r="QRF553"/>
      <c r="QRG553"/>
      <c r="QRH553"/>
      <c r="QRI553"/>
      <c r="QRJ553"/>
      <c r="QRK553"/>
      <c r="QRL553"/>
      <c r="QRM553"/>
      <c r="QRN553"/>
      <c r="QRO553"/>
      <c r="QRP553"/>
      <c r="QRQ553"/>
      <c r="QRR553"/>
      <c r="QRS553"/>
      <c r="QRT553"/>
      <c r="QRU553"/>
      <c r="QRV553"/>
      <c r="QRW553"/>
      <c r="QRX553"/>
      <c r="QRY553"/>
      <c r="QRZ553"/>
      <c r="QSA553"/>
      <c r="QSB553"/>
      <c r="QSC553"/>
      <c r="QSD553"/>
      <c r="QSE553"/>
      <c r="QSF553"/>
      <c r="QSG553"/>
      <c r="QSH553"/>
      <c r="QSI553"/>
      <c r="QSJ553"/>
      <c r="QSK553"/>
      <c r="QSL553"/>
      <c r="QSM553"/>
      <c r="QSN553"/>
      <c r="QSO553"/>
      <c r="QSP553"/>
      <c r="QSQ553"/>
      <c r="QSR553"/>
      <c r="QSS553"/>
      <c r="QST553"/>
      <c r="QSU553"/>
      <c r="QSV553"/>
      <c r="QSW553"/>
      <c r="QSX553"/>
      <c r="QSY553"/>
      <c r="QSZ553"/>
      <c r="QTA553"/>
      <c r="QTB553"/>
      <c r="QTC553"/>
      <c r="QTD553"/>
      <c r="QTE553"/>
      <c r="QTF553"/>
      <c r="QTG553"/>
      <c r="QTH553"/>
      <c r="QTI553"/>
      <c r="QTJ553"/>
      <c r="QTK553"/>
      <c r="QTL553"/>
      <c r="QTM553"/>
      <c r="QTN553"/>
      <c r="QTO553"/>
      <c r="QTP553"/>
      <c r="QTQ553"/>
      <c r="QTR553"/>
      <c r="QTS553"/>
      <c r="QTT553"/>
      <c r="QTU553"/>
      <c r="QTV553"/>
      <c r="QTW553"/>
      <c r="QTX553"/>
      <c r="QTY553"/>
      <c r="QTZ553"/>
      <c r="QUA553"/>
      <c r="QUB553"/>
      <c r="QUC553"/>
      <c r="QUD553"/>
      <c r="QUE553"/>
      <c r="QUF553"/>
      <c r="QUG553"/>
      <c r="QUH553"/>
      <c r="QUI553"/>
      <c r="QUJ553"/>
      <c r="QUK553"/>
      <c r="QUL553"/>
      <c r="QUM553"/>
      <c r="QUN553"/>
      <c r="QUO553"/>
      <c r="QUP553"/>
      <c r="QUQ553"/>
      <c r="QUR553"/>
      <c r="QUS553"/>
      <c r="QUT553"/>
      <c r="QUU553"/>
      <c r="QUV553"/>
      <c r="QUW553"/>
      <c r="QUX553"/>
      <c r="QUY553"/>
      <c r="QUZ553"/>
      <c r="QVA553"/>
      <c r="QVB553"/>
      <c r="QVC553"/>
      <c r="QVD553"/>
      <c r="QVE553"/>
      <c r="QVF553"/>
      <c r="QVG553"/>
      <c r="QVH553"/>
      <c r="QVI553"/>
      <c r="QVJ553"/>
      <c r="QVK553"/>
      <c r="QVL553"/>
      <c r="QVM553"/>
      <c r="QVN553"/>
      <c r="QVO553"/>
      <c r="QVP553"/>
      <c r="QVQ553"/>
      <c r="QVR553"/>
      <c r="QVS553"/>
      <c r="QVT553"/>
      <c r="QVU553"/>
      <c r="QVV553"/>
      <c r="QVW553"/>
      <c r="QVX553"/>
      <c r="QVY553"/>
      <c r="QVZ553"/>
      <c r="QWA553"/>
      <c r="QWB553"/>
      <c r="QWC553"/>
      <c r="QWD553"/>
      <c r="QWE553"/>
      <c r="QWF553"/>
      <c r="QWG553"/>
      <c r="QWH553"/>
      <c r="QWI553"/>
      <c r="QWJ553"/>
      <c r="QWK553"/>
      <c r="QWL553"/>
      <c r="QWM553"/>
      <c r="QWN553"/>
      <c r="QWO553"/>
      <c r="QWP553"/>
      <c r="QWQ553"/>
      <c r="QWR553"/>
      <c r="QWS553"/>
      <c r="QWT553"/>
      <c r="QWU553"/>
      <c r="QWV553"/>
      <c r="QWW553"/>
      <c r="QWX553"/>
      <c r="QWY553"/>
      <c r="QWZ553"/>
      <c r="QXA553"/>
      <c r="QXB553"/>
      <c r="QXC553"/>
      <c r="QXD553"/>
      <c r="QXE553"/>
      <c r="QXF553"/>
      <c r="QXG553"/>
      <c r="QXH553"/>
      <c r="QXI553"/>
      <c r="QXJ553"/>
      <c r="QXK553"/>
      <c r="QXL553"/>
      <c r="QXM553"/>
      <c r="QXN553"/>
      <c r="QXO553"/>
      <c r="QXP553"/>
      <c r="QXQ553"/>
      <c r="QXR553"/>
      <c r="QXS553"/>
      <c r="QXT553"/>
      <c r="QXU553"/>
      <c r="QXV553"/>
      <c r="QXW553"/>
      <c r="QXX553"/>
      <c r="QXY553"/>
      <c r="QXZ553"/>
      <c r="QYA553"/>
      <c r="QYB553"/>
      <c r="QYC553"/>
      <c r="QYD553"/>
      <c r="QYE553"/>
      <c r="QYF553"/>
      <c r="QYG553"/>
      <c r="QYH553"/>
      <c r="QYI553"/>
      <c r="QYJ553"/>
      <c r="QYK553"/>
      <c r="QYL553"/>
      <c r="QYM553"/>
      <c r="QYN553"/>
      <c r="QYO553"/>
      <c r="QYP553"/>
      <c r="QYQ553"/>
      <c r="QYR553"/>
      <c r="QYS553"/>
      <c r="QYT553"/>
      <c r="QYU553"/>
      <c r="QYV553"/>
      <c r="QYW553"/>
      <c r="QYX553"/>
      <c r="QYY553"/>
      <c r="QYZ553"/>
      <c r="QZA553"/>
      <c r="QZB553"/>
      <c r="QZC553"/>
      <c r="QZD553"/>
      <c r="QZE553"/>
      <c r="QZF553"/>
      <c r="QZG553"/>
      <c r="QZH553"/>
      <c r="QZI553"/>
      <c r="QZJ553"/>
      <c r="QZK553"/>
      <c r="QZL553"/>
      <c r="QZM553"/>
      <c r="QZN553"/>
      <c r="QZO553"/>
      <c r="QZP553"/>
      <c r="QZQ553"/>
      <c r="QZR553"/>
      <c r="QZS553"/>
      <c r="QZT553"/>
      <c r="QZU553"/>
      <c r="QZV553"/>
      <c r="QZW553"/>
      <c r="QZX553"/>
      <c r="QZY553"/>
      <c r="QZZ553"/>
      <c r="RAA553"/>
      <c r="RAB553"/>
      <c r="RAC553"/>
      <c r="RAD553"/>
      <c r="RAE553"/>
      <c r="RAF553"/>
      <c r="RAG553"/>
      <c r="RAH553"/>
      <c r="RAI553"/>
      <c r="RAJ553"/>
      <c r="RAK553"/>
      <c r="RAL553"/>
      <c r="RAM553"/>
      <c r="RAN553"/>
      <c r="RAO553"/>
      <c r="RAP553"/>
      <c r="RAQ553"/>
      <c r="RAR553"/>
      <c r="RAS553"/>
      <c r="RAT553"/>
      <c r="RAU553"/>
      <c r="RAV553"/>
      <c r="RAW553"/>
      <c r="RAX553"/>
      <c r="RAY553"/>
      <c r="RAZ553"/>
      <c r="RBA553"/>
      <c r="RBB553"/>
      <c r="RBC553"/>
      <c r="RBD553"/>
      <c r="RBE553"/>
      <c r="RBF553"/>
      <c r="RBG553"/>
      <c r="RBH553"/>
      <c r="RBI553"/>
      <c r="RBJ553"/>
      <c r="RBK553"/>
      <c r="RBL553"/>
      <c r="RBM553"/>
      <c r="RBN553"/>
      <c r="RBO553"/>
      <c r="RBP553"/>
      <c r="RBQ553"/>
      <c r="RBR553"/>
      <c r="RBS553"/>
      <c r="RBT553"/>
      <c r="RBU553"/>
      <c r="RBV553"/>
      <c r="RBW553"/>
      <c r="RBX553"/>
      <c r="RBY553"/>
      <c r="RBZ553"/>
      <c r="RCA553"/>
      <c r="RCB553"/>
      <c r="RCC553"/>
      <c r="RCD553"/>
      <c r="RCE553"/>
      <c r="RCF553"/>
      <c r="RCG553"/>
      <c r="RCH553"/>
      <c r="RCI553"/>
      <c r="RCJ553"/>
      <c r="RCK553"/>
      <c r="RCL553"/>
      <c r="RCM553"/>
      <c r="RCN553"/>
      <c r="RCO553"/>
      <c r="RCP553"/>
      <c r="RCQ553"/>
      <c r="RCR553"/>
      <c r="RCS553"/>
      <c r="RCT553"/>
      <c r="RCU553"/>
      <c r="RCV553"/>
      <c r="RCW553"/>
      <c r="RCX553"/>
      <c r="RCY553"/>
      <c r="RCZ553"/>
      <c r="RDA553"/>
      <c r="RDB553"/>
      <c r="RDC553"/>
      <c r="RDD553"/>
      <c r="RDE553"/>
      <c r="RDF553"/>
      <c r="RDG553"/>
      <c r="RDH553"/>
      <c r="RDI553"/>
      <c r="RDJ553"/>
      <c r="RDK553"/>
      <c r="RDL553"/>
      <c r="RDM553"/>
      <c r="RDN553"/>
      <c r="RDO553"/>
      <c r="RDP553"/>
      <c r="RDQ553"/>
      <c r="RDR553"/>
      <c r="RDS553"/>
      <c r="RDT553"/>
      <c r="RDU553"/>
      <c r="RDV553"/>
      <c r="RDW553"/>
      <c r="RDX553"/>
      <c r="RDY553"/>
      <c r="RDZ553"/>
      <c r="REA553"/>
      <c r="REB553"/>
      <c r="REC553"/>
      <c r="RED553"/>
      <c r="REE553"/>
      <c r="REF553"/>
      <c r="REG553"/>
      <c r="REH553"/>
      <c r="REI553"/>
      <c r="REJ553"/>
      <c r="REK553"/>
      <c r="REL553"/>
      <c r="REM553"/>
      <c r="REN553"/>
      <c r="REO553"/>
      <c r="REP553"/>
      <c r="REQ553"/>
      <c r="RER553"/>
      <c r="RES553"/>
      <c r="RET553"/>
      <c r="REU553"/>
      <c r="REV553"/>
      <c r="REW553"/>
      <c r="REX553"/>
      <c r="REY553"/>
      <c r="REZ553"/>
      <c r="RFA553"/>
      <c r="RFB553"/>
      <c r="RFC553"/>
      <c r="RFD553"/>
      <c r="RFE553"/>
      <c r="RFF553"/>
      <c r="RFG553"/>
      <c r="RFH553"/>
      <c r="RFI553"/>
      <c r="RFJ553"/>
      <c r="RFK553"/>
      <c r="RFL553"/>
      <c r="RFM553"/>
      <c r="RFN553"/>
      <c r="RFO553"/>
      <c r="RFP553"/>
      <c r="RFQ553"/>
      <c r="RFR553"/>
      <c r="RFS553"/>
      <c r="RFT553"/>
      <c r="RFU553"/>
      <c r="RFV553"/>
      <c r="RFW553"/>
      <c r="RFX553"/>
      <c r="RFY553"/>
      <c r="RFZ553"/>
      <c r="RGA553"/>
      <c r="RGB553"/>
      <c r="RGC553"/>
      <c r="RGD553"/>
      <c r="RGE553"/>
      <c r="RGF553"/>
      <c r="RGG553"/>
      <c r="RGH553"/>
      <c r="RGI553"/>
      <c r="RGJ553"/>
      <c r="RGK553"/>
      <c r="RGL553"/>
      <c r="RGM553"/>
      <c r="RGN553"/>
      <c r="RGO553"/>
      <c r="RGP553"/>
      <c r="RGQ553"/>
      <c r="RGR553"/>
      <c r="RGS553"/>
      <c r="RGT553"/>
      <c r="RGU553"/>
      <c r="RGV553"/>
      <c r="RGW553"/>
      <c r="RGX553"/>
      <c r="RGY553"/>
      <c r="RGZ553"/>
      <c r="RHA553"/>
      <c r="RHB553"/>
      <c r="RHC553"/>
      <c r="RHD553"/>
      <c r="RHE553"/>
      <c r="RHF553"/>
      <c r="RHG553"/>
      <c r="RHH553"/>
      <c r="RHI553"/>
      <c r="RHJ553"/>
      <c r="RHK553"/>
      <c r="RHL553"/>
      <c r="RHM553"/>
      <c r="RHN553"/>
      <c r="RHO553"/>
      <c r="RHP553"/>
      <c r="RHQ553"/>
      <c r="RHR553"/>
      <c r="RHS553"/>
      <c r="RHT553"/>
      <c r="RHU553"/>
      <c r="RHV553"/>
      <c r="RHW553"/>
      <c r="RHX553"/>
      <c r="RHY553"/>
      <c r="RHZ553"/>
      <c r="RIA553"/>
      <c r="RIB553"/>
      <c r="RIC553"/>
      <c r="RID553"/>
      <c r="RIE553"/>
      <c r="RIF553"/>
      <c r="RIG553"/>
      <c r="RIH553"/>
      <c r="RII553"/>
      <c r="RIJ553"/>
      <c r="RIK553"/>
      <c r="RIL553"/>
      <c r="RIM553"/>
      <c r="RIN553"/>
      <c r="RIO553"/>
      <c r="RIP553"/>
      <c r="RIQ553"/>
      <c r="RIR553"/>
      <c r="RIS553"/>
      <c r="RIT553"/>
      <c r="RIU553"/>
      <c r="RIV553"/>
      <c r="RIW553"/>
      <c r="RIX553"/>
      <c r="RIY553"/>
      <c r="RIZ553"/>
      <c r="RJA553"/>
      <c r="RJB553"/>
      <c r="RJC553"/>
      <c r="RJD553"/>
      <c r="RJE553"/>
      <c r="RJF553"/>
      <c r="RJG553"/>
      <c r="RJH553"/>
      <c r="RJI553"/>
      <c r="RJJ553"/>
      <c r="RJK553"/>
      <c r="RJL553"/>
      <c r="RJM553"/>
      <c r="RJN553"/>
      <c r="RJO553"/>
      <c r="RJP553"/>
      <c r="RJQ553"/>
      <c r="RJR553"/>
      <c r="RJS553"/>
      <c r="RJT553"/>
      <c r="RJU553"/>
      <c r="RJV553"/>
      <c r="RJW553"/>
      <c r="RJX553"/>
      <c r="RJY553"/>
      <c r="RJZ553"/>
      <c r="RKA553"/>
      <c r="RKB553"/>
      <c r="RKC553"/>
      <c r="RKD553"/>
      <c r="RKE553"/>
      <c r="RKF553"/>
      <c r="RKG553"/>
      <c r="RKH553"/>
      <c r="RKI553"/>
      <c r="RKJ553"/>
      <c r="RKK553"/>
      <c r="RKL553"/>
      <c r="RKM553"/>
      <c r="RKN553"/>
      <c r="RKO553"/>
      <c r="RKP553"/>
      <c r="RKQ553"/>
      <c r="RKR553"/>
      <c r="RKS553"/>
      <c r="RKT553"/>
      <c r="RKU553"/>
      <c r="RKV553"/>
      <c r="RKW553"/>
      <c r="RKX553"/>
      <c r="RKY553"/>
      <c r="RKZ553"/>
      <c r="RLA553"/>
      <c r="RLB553"/>
      <c r="RLC553"/>
      <c r="RLD553"/>
      <c r="RLE553"/>
      <c r="RLF553"/>
      <c r="RLG553"/>
      <c r="RLH553"/>
      <c r="RLI553"/>
      <c r="RLJ553"/>
      <c r="RLK553"/>
      <c r="RLL553"/>
      <c r="RLM553"/>
      <c r="RLN553"/>
      <c r="RLO553"/>
      <c r="RLP553"/>
      <c r="RLQ553"/>
      <c r="RLR553"/>
      <c r="RLS553"/>
      <c r="RLT553"/>
      <c r="RLU553"/>
      <c r="RLV553"/>
      <c r="RLW553"/>
      <c r="RLX553"/>
      <c r="RLY553"/>
      <c r="RLZ553"/>
      <c r="RMA553"/>
      <c r="RMB553"/>
      <c r="RMC553"/>
      <c r="RMD553"/>
      <c r="RME553"/>
      <c r="RMF553"/>
      <c r="RMG553"/>
      <c r="RMH553"/>
      <c r="RMI553"/>
      <c r="RMJ553"/>
      <c r="RMK553"/>
      <c r="RML553"/>
      <c r="RMM553"/>
      <c r="RMN553"/>
      <c r="RMO553"/>
      <c r="RMP553"/>
      <c r="RMQ553"/>
      <c r="RMR553"/>
      <c r="RMS553"/>
      <c r="RMT553"/>
      <c r="RMU553"/>
      <c r="RMV553"/>
      <c r="RMW553"/>
      <c r="RMX553"/>
      <c r="RMY553"/>
      <c r="RMZ553"/>
      <c r="RNA553"/>
      <c r="RNB553"/>
      <c r="RNC553"/>
      <c r="RND553"/>
      <c r="RNE553"/>
      <c r="RNF553"/>
      <c r="RNG553"/>
      <c r="RNH553"/>
      <c r="RNI553"/>
      <c r="RNJ553"/>
      <c r="RNK553"/>
      <c r="RNL553"/>
      <c r="RNM553"/>
      <c r="RNN553"/>
      <c r="RNO553"/>
      <c r="RNP553"/>
      <c r="RNQ553"/>
      <c r="RNR553"/>
      <c r="RNS553"/>
      <c r="RNT553"/>
      <c r="RNU553"/>
      <c r="RNV553"/>
      <c r="RNW553"/>
      <c r="RNX553"/>
      <c r="RNY553"/>
      <c r="RNZ553"/>
      <c r="ROA553"/>
      <c r="ROB553"/>
      <c r="ROC553"/>
      <c r="ROD553"/>
      <c r="ROE553"/>
      <c r="ROF553"/>
      <c r="ROG553"/>
      <c r="ROH553"/>
      <c r="ROI553"/>
      <c r="ROJ553"/>
      <c r="ROK553"/>
      <c r="ROL553"/>
      <c r="ROM553"/>
      <c r="RON553"/>
      <c r="ROO553"/>
      <c r="ROP553"/>
      <c r="ROQ553"/>
      <c r="ROR553"/>
      <c r="ROS553"/>
      <c r="ROT553"/>
      <c r="ROU553"/>
      <c r="ROV553"/>
      <c r="ROW553"/>
      <c r="ROX553"/>
      <c r="ROY553"/>
      <c r="ROZ553"/>
      <c r="RPA553"/>
      <c r="RPB553"/>
      <c r="RPC553"/>
      <c r="RPD553"/>
      <c r="RPE553"/>
      <c r="RPF553"/>
      <c r="RPG553"/>
      <c r="RPH553"/>
      <c r="RPI553"/>
      <c r="RPJ553"/>
      <c r="RPK553"/>
      <c r="RPL553"/>
      <c r="RPM553"/>
      <c r="RPN553"/>
      <c r="RPO553"/>
      <c r="RPP553"/>
      <c r="RPQ553"/>
      <c r="RPR553"/>
      <c r="RPS553"/>
      <c r="RPT553"/>
      <c r="RPU553"/>
      <c r="RPV553"/>
      <c r="RPW553"/>
      <c r="RPX553"/>
      <c r="RPY553"/>
      <c r="RPZ553"/>
      <c r="RQA553"/>
      <c r="RQB553"/>
      <c r="RQC553"/>
      <c r="RQD553"/>
      <c r="RQE553"/>
      <c r="RQF553"/>
      <c r="RQG553"/>
      <c r="RQH553"/>
      <c r="RQI553"/>
      <c r="RQJ553"/>
      <c r="RQK553"/>
      <c r="RQL553"/>
      <c r="RQM553"/>
      <c r="RQN553"/>
      <c r="RQO553"/>
      <c r="RQP553"/>
      <c r="RQQ553"/>
      <c r="RQR553"/>
      <c r="RQS553"/>
      <c r="RQT553"/>
      <c r="RQU553"/>
      <c r="RQV553"/>
      <c r="RQW553"/>
      <c r="RQX553"/>
      <c r="RQY553"/>
      <c r="RQZ553"/>
      <c r="RRA553"/>
      <c r="RRB553"/>
      <c r="RRC553"/>
      <c r="RRD553"/>
      <c r="RRE553"/>
      <c r="RRF553"/>
      <c r="RRG553"/>
      <c r="RRH553"/>
      <c r="RRI553"/>
      <c r="RRJ553"/>
      <c r="RRK553"/>
      <c r="RRL553"/>
      <c r="RRM553"/>
      <c r="RRN553"/>
      <c r="RRO553"/>
      <c r="RRP553"/>
      <c r="RRQ553"/>
      <c r="RRR553"/>
      <c r="RRS553"/>
      <c r="RRT553"/>
      <c r="RRU553"/>
      <c r="RRV553"/>
      <c r="RRW553"/>
      <c r="RRX553"/>
      <c r="RRY553"/>
      <c r="RRZ553"/>
      <c r="RSA553"/>
      <c r="RSB553"/>
      <c r="RSC553"/>
      <c r="RSD553"/>
      <c r="RSE553"/>
      <c r="RSF553"/>
      <c r="RSG553"/>
      <c r="RSH553"/>
      <c r="RSI553"/>
      <c r="RSJ553"/>
      <c r="RSK553"/>
      <c r="RSL553"/>
      <c r="RSM553"/>
      <c r="RSN553"/>
      <c r="RSO553"/>
      <c r="RSP553"/>
      <c r="RSQ553"/>
      <c r="RSR553"/>
      <c r="RSS553"/>
      <c r="RST553"/>
      <c r="RSU553"/>
      <c r="RSV553"/>
      <c r="RSW553"/>
      <c r="RSX553"/>
      <c r="RSY553"/>
      <c r="RSZ553"/>
      <c r="RTA553"/>
      <c r="RTB553"/>
      <c r="RTC553"/>
      <c r="RTD553"/>
      <c r="RTE553"/>
      <c r="RTF553"/>
      <c r="RTG553"/>
      <c r="RTH553"/>
      <c r="RTI553"/>
      <c r="RTJ553"/>
      <c r="RTK553"/>
      <c r="RTL553"/>
      <c r="RTM553"/>
      <c r="RTN553"/>
      <c r="RTO553"/>
      <c r="RTP553"/>
      <c r="RTQ553"/>
      <c r="RTR553"/>
      <c r="RTS553"/>
      <c r="RTT553"/>
      <c r="RTU553"/>
      <c r="RTV553"/>
      <c r="RTW553"/>
      <c r="RTX553"/>
      <c r="RTY553"/>
      <c r="RTZ553"/>
      <c r="RUA553"/>
      <c r="RUB553"/>
      <c r="RUC553"/>
      <c r="RUD553"/>
      <c r="RUE553"/>
      <c r="RUF553"/>
      <c r="RUG553"/>
      <c r="RUH553"/>
      <c r="RUI553"/>
      <c r="RUJ553"/>
      <c r="RUK553"/>
      <c r="RUL553"/>
      <c r="RUM553"/>
      <c r="RUN553"/>
      <c r="RUO553"/>
      <c r="RUP553"/>
      <c r="RUQ553"/>
      <c r="RUR553"/>
      <c r="RUS553"/>
      <c r="RUT553"/>
      <c r="RUU553"/>
      <c r="RUV553"/>
      <c r="RUW553"/>
      <c r="RUX553"/>
      <c r="RUY553"/>
      <c r="RUZ553"/>
      <c r="RVA553"/>
      <c r="RVB553"/>
      <c r="RVC553"/>
      <c r="RVD553"/>
      <c r="RVE553"/>
      <c r="RVF553"/>
      <c r="RVG553"/>
      <c r="RVH553"/>
      <c r="RVI553"/>
      <c r="RVJ553"/>
      <c r="RVK553"/>
      <c r="RVL553"/>
      <c r="RVM553"/>
      <c r="RVN553"/>
      <c r="RVO553"/>
      <c r="RVP553"/>
      <c r="RVQ553"/>
      <c r="RVR553"/>
      <c r="RVS553"/>
      <c r="RVT553"/>
      <c r="RVU553"/>
      <c r="RVV553"/>
      <c r="RVW553"/>
      <c r="RVX553"/>
      <c r="RVY553"/>
      <c r="RVZ553"/>
      <c r="RWA553"/>
      <c r="RWB553"/>
      <c r="RWC553"/>
      <c r="RWD553"/>
      <c r="RWE553"/>
      <c r="RWF553"/>
      <c r="RWG553"/>
      <c r="RWH553"/>
      <c r="RWI553"/>
      <c r="RWJ553"/>
      <c r="RWK553"/>
      <c r="RWL553"/>
      <c r="RWM553"/>
      <c r="RWN553"/>
      <c r="RWO553"/>
      <c r="RWP553"/>
      <c r="RWQ553"/>
      <c r="RWR553"/>
      <c r="RWS553"/>
      <c r="RWT553"/>
      <c r="RWU553"/>
      <c r="RWV553"/>
      <c r="RWW553"/>
      <c r="RWX553"/>
      <c r="RWY553"/>
      <c r="RWZ553"/>
      <c r="RXA553"/>
      <c r="RXB553"/>
      <c r="RXC553"/>
      <c r="RXD553"/>
      <c r="RXE553"/>
      <c r="RXF553"/>
      <c r="RXG553"/>
      <c r="RXH553"/>
      <c r="RXI553"/>
      <c r="RXJ553"/>
      <c r="RXK553"/>
      <c r="RXL553"/>
      <c r="RXM553"/>
      <c r="RXN553"/>
      <c r="RXO553"/>
      <c r="RXP553"/>
      <c r="RXQ553"/>
      <c r="RXR553"/>
      <c r="RXS553"/>
      <c r="RXT553"/>
      <c r="RXU553"/>
      <c r="RXV553"/>
      <c r="RXW553"/>
      <c r="RXX553"/>
      <c r="RXY553"/>
      <c r="RXZ553"/>
      <c r="RYA553"/>
      <c r="RYB553"/>
      <c r="RYC553"/>
      <c r="RYD553"/>
      <c r="RYE553"/>
      <c r="RYF553"/>
      <c r="RYG553"/>
      <c r="RYH553"/>
      <c r="RYI553"/>
      <c r="RYJ553"/>
      <c r="RYK553"/>
      <c r="RYL553"/>
      <c r="RYM553"/>
      <c r="RYN553"/>
      <c r="RYO553"/>
      <c r="RYP553"/>
      <c r="RYQ553"/>
      <c r="RYR553"/>
      <c r="RYS553"/>
      <c r="RYT553"/>
      <c r="RYU553"/>
      <c r="RYV553"/>
      <c r="RYW553"/>
      <c r="RYX553"/>
      <c r="RYY553"/>
      <c r="RYZ553"/>
      <c r="RZA553"/>
      <c r="RZB553"/>
      <c r="RZC553"/>
      <c r="RZD553"/>
      <c r="RZE553"/>
      <c r="RZF553"/>
      <c r="RZG553"/>
      <c r="RZH553"/>
      <c r="RZI553"/>
      <c r="RZJ553"/>
      <c r="RZK553"/>
      <c r="RZL553"/>
      <c r="RZM553"/>
      <c r="RZN553"/>
      <c r="RZO553"/>
      <c r="RZP553"/>
      <c r="RZQ553"/>
      <c r="RZR553"/>
      <c r="RZS553"/>
      <c r="RZT553"/>
      <c r="RZU553"/>
      <c r="RZV553"/>
      <c r="RZW553"/>
      <c r="RZX553"/>
      <c r="RZY553"/>
      <c r="RZZ553"/>
      <c r="SAA553"/>
      <c r="SAB553"/>
      <c r="SAC553"/>
      <c r="SAD553"/>
      <c r="SAE553"/>
      <c r="SAF553"/>
      <c r="SAG553"/>
      <c r="SAH553"/>
      <c r="SAI553"/>
      <c r="SAJ553"/>
      <c r="SAK553"/>
      <c r="SAL553"/>
      <c r="SAM553"/>
      <c r="SAN553"/>
      <c r="SAO553"/>
      <c r="SAP553"/>
      <c r="SAQ553"/>
      <c r="SAR553"/>
      <c r="SAS553"/>
      <c r="SAT553"/>
      <c r="SAU553"/>
      <c r="SAV553"/>
      <c r="SAW553"/>
      <c r="SAX553"/>
      <c r="SAY553"/>
      <c r="SAZ553"/>
      <c r="SBA553"/>
      <c r="SBB553"/>
      <c r="SBC553"/>
      <c r="SBD553"/>
      <c r="SBE553"/>
      <c r="SBF553"/>
      <c r="SBG553"/>
      <c r="SBH553"/>
      <c r="SBI553"/>
      <c r="SBJ553"/>
      <c r="SBK553"/>
      <c r="SBL553"/>
      <c r="SBM553"/>
      <c r="SBN553"/>
      <c r="SBO553"/>
      <c r="SBP553"/>
      <c r="SBQ553"/>
      <c r="SBR553"/>
      <c r="SBS553"/>
      <c r="SBT553"/>
      <c r="SBU553"/>
      <c r="SBV553"/>
      <c r="SBW553"/>
      <c r="SBX553"/>
      <c r="SBY553"/>
      <c r="SBZ553"/>
      <c r="SCA553"/>
      <c r="SCB553"/>
      <c r="SCC553"/>
      <c r="SCD553"/>
      <c r="SCE553"/>
      <c r="SCF553"/>
      <c r="SCG553"/>
      <c r="SCH553"/>
      <c r="SCI553"/>
      <c r="SCJ553"/>
      <c r="SCK553"/>
      <c r="SCL553"/>
      <c r="SCM553"/>
      <c r="SCN553"/>
      <c r="SCO553"/>
      <c r="SCP553"/>
      <c r="SCQ553"/>
      <c r="SCR553"/>
      <c r="SCS553"/>
      <c r="SCT553"/>
      <c r="SCU553"/>
      <c r="SCV553"/>
      <c r="SCW553"/>
      <c r="SCX553"/>
      <c r="SCY553"/>
      <c r="SCZ553"/>
      <c r="SDA553"/>
      <c r="SDB553"/>
      <c r="SDC553"/>
      <c r="SDD553"/>
      <c r="SDE553"/>
      <c r="SDF553"/>
      <c r="SDG553"/>
      <c r="SDH553"/>
      <c r="SDI553"/>
      <c r="SDJ553"/>
      <c r="SDK553"/>
      <c r="SDL553"/>
      <c r="SDM553"/>
      <c r="SDN553"/>
      <c r="SDO553"/>
      <c r="SDP553"/>
      <c r="SDQ553"/>
      <c r="SDR553"/>
      <c r="SDS553"/>
      <c r="SDT553"/>
      <c r="SDU553"/>
      <c r="SDV553"/>
      <c r="SDW553"/>
      <c r="SDX553"/>
      <c r="SDY553"/>
      <c r="SDZ553"/>
      <c r="SEA553"/>
      <c r="SEB553"/>
      <c r="SEC553"/>
      <c r="SED553"/>
      <c r="SEE553"/>
      <c r="SEF553"/>
      <c r="SEG553"/>
      <c r="SEH553"/>
      <c r="SEI553"/>
      <c r="SEJ553"/>
      <c r="SEK553"/>
      <c r="SEL553"/>
      <c r="SEM553"/>
      <c r="SEN553"/>
      <c r="SEO553"/>
      <c r="SEP553"/>
      <c r="SEQ553"/>
      <c r="SER553"/>
      <c r="SES553"/>
      <c r="SET553"/>
      <c r="SEU553"/>
      <c r="SEV553"/>
      <c r="SEW553"/>
      <c r="SEX553"/>
      <c r="SEY553"/>
      <c r="SEZ553"/>
      <c r="SFA553"/>
      <c r="SFB553"/>
      <c r="SFC553"/>
      <c r="SFD553"/>
      <c r="SFE553"/>
      <c r="SFF553"/>
      <c r="SFG553"/>
      <c r="SFH553"/>
      <c r="SFI553"/>
      <c r="SFJ553"/>
      <c r="SFK553"/>
      <c r="SFL553"/>
      <c r="SFM553"/>
      <c r="SFN553"/>
      <c r="SFO553"/>
      <c r="SFP553"/>
      <c r="SFQ553"/>
      <c r="SFR553"/>
      <c r="SFS553"/>
      <c r="SFT553"/>
      <c r="SFU553"/>
      <c r="SFV553"/>
      <c r="SFW553"/>
      <c r="SFX553"/>
      <c r="SFY553"/>
      <c r="SFZ553"/>
      <c r="SGA553"/>
      <c r="SGB553"/>
      <c r="SGC553"/>
      <c r="SGD553"/>
      <c r="SGE553"/>
      <c r="SGF553"/>
      <c r="SGG553"/>
      <c r="SGH553"/>
      <c r="SGI553"/>
      <c r="SGJ553"/>
      <c r="SGK553"/>
      <c r="SGL553"/>
      <c r="SGM553"/>
      <c r="SGN553"/>
      <c r="SGO553"/>
      <c r="SGP553"/>
      <c r="SGQ553"/>
      <c r="SGR553"/>
      <c r="SGS553"/>
      <c r="SGT553"/>
      <c r="SGU553"/>
      <c r="SGV553"/>
      <c r="SGW553"/>
      <c r="SGX553"/>
      <c r="SGY553"/>
      <c r="SGZ553"/>
      <c r="SHA553"/>
      <c r="SHB553"/>
      <c r="SHC553"/>
      <c r="SHD553"/>
      <c r="SHE553"/>
      <c r="SHF553"/>
      <c r="SHG553"/>
      <c r="SHH553"/>
      <c r="SHI553"/>
      <c r="SHJ553"/>
      <c r="SHK553"/>
      <c r="SHL553"/>
      <c r="SHM553"/>
      <c r="SHN553"/>
      <c r="SHO553"/>
      <c r="SHP553"/>
      <c r="SHQ553"/>
      <c r="SHR553"/>
      <c r="SHS553"/>
      <c r="SHT553"/>
      <c r="SHU553"/>
      <c r="SHV553"/>
      <c r="SHW553"/>
      <c r="SHX553"/>
      <c r="SHY553"/>
      <c r="SHZ553"/>
      <c r="SIA553"/>
      <c r="SIB553"/>
      <c r="SIC553"/>
      <c r="SID553"/>
      <c r="SIE553"/>
      <c r="SIF553"/>
      <c r="SIG553"/>
      <c r="SIH553"/>
      <c r="SII553"/>
      <c r="SIJ553"/>
      <c r="SIK553"/>
      <c r="SIL553"/>
      <c r="SIM553"/>
      <c r="SIN553"/>
      <c r="SIO553"/>
      <c r="SIP553"/>
      <c r="SIQ553"/>
      <c r="SIR553"/>
      <c r="SIS553"/>
      <c r="SIT553"/>
      <c r="SIU553"/>
      <c r="SIV553"/>
      <c r="SIW553"/>
      <c r="SIX553"/>
      <c r="SIY553"/>
      <c r="SIZ553"/>
      <c r="SJA553"/>
      <c r="SJB553"/>
      <c r="SJC553"/>
      <c r="SJD553"/>
      <c r="SJE553"/>
      <c r="SJF553"/>
      <c r="SJG553"/>
      <c r="SJH553"/>
      <c r="SJI553"/>
      <c r="SJJ553"/>
      <c r="SJK553"/>
      <c r="SJL553"/>
      <c r="SJM553"/>
      <c r="SJN553"/>
      <c r="SJO553"/>
      <c r="SJP553"/>
      <c r="SJQ553"/>
      <c r="SJR553"/>
      <c r="SJS553"/>
      <c r="SJT553"/>
      <c r="SJU553"/>
      <c r="SJV553"/>
      <c r="SJW553"/>
      <c r="SJX553"/>
      <c r="SJY553"/>
      <c r="SJZ553"/>
      <c r="SKA553"/>
      <c r="SKB553"/>
      <c r="SKC553"/>
      <c r="SKD553"/>
      <c r="SKE553"/>
      <c r="SKF553"/>
      <c r="SKG553"/>
      <c r="SKH553"/>
      <c r="SKI553"/>
      <c r="SKJ553"/>
      <c r="SKK553"/>
      <c r="SKL553"/>
      <c r="SKM553"/>
      <c r="SKN553"/>
      <c r="SKO553"/>
      <c r="SKP553"/>
      <c r="SKQ553"/>
      <c r="SKR553"/>
      <c r="SKS553"/>
      <c r="SKT553"/>
      <c r="SKU553"/>
      <c r="SKV553"/>
      <c r="SKW553"/>
      <c r="SKX553"/>
      <c r="SKY553"/>
      <c r="SKZ553"/>
      <c r="SLA553"/>
      <c r="SLB553"/>
      <c r="SLC553"/>
      <c r="SLD553"/>
      <c r="SLE553"/>
      <c r="SLF553"/>
      <c r="SLG553"/>
      <c r="SLH553"/>
      <c r="SLI553"/>
      <c r="SLJ553"/>
      <c r="SLK553"/>
      <c r="SLL553"/>
      <c r="SLM553"/>
      <c r="SLN553"/>
      <c r="SLO553"/>
      <c r="SLP553"/>
      <c r="SLQ553"/>
      <c r="SLR553"/>
      <c r="SLS553"/>
      <c r="SLT553"/>
      <c r="SLU553"/>
      <c r="SLV553"/>
      <c r="SLW553"/>
      <c r="SLX553"/>
      <c r="SLY553"/>
      <c r="SLZ553"/>
      <c r="SMA553"/>
      <c r="SMB553"/>
      <c r="SMC553"/>
      <c r="SMD553"/>
      <c r="SME553"/>
      <c r="SMF553"/>
      <c r="SMG553"/>
      <c r="SMH553"/>
      <c r="SMI553"/>
      <c r="SMJ553"/>
      <c r="SMK553"/>
      <c r="SML553"/>
      <c r="SMM553"/>
      <c r="SMN553"/>
      <c r="SMO553"/>
      <c r="SMP553"/>
      <c r="SMQ553"/>
      <c r="SMR553"/>
      <c r="SMS553"/>
      <c r="SMT553"/>
      <c r="SMU553"/>
      <c r="SMV553"/>
      <c r="SMW553"/>
      <c r="SMX553"/>
      <c r="SMY553"/>
      <c r="SMZ553"/>
      <c r="SNA553"/>
      <c r="SNB553"/>
      <c r="SNC553"/>
      <c r="SND553"/>
      <c r="SNE553"/>
      <c r="SNF553"/>
      <c r="SNG553"/>
      <c r="SNH553"/>
      <c r="SNI553"/>
      <c r="SNJ553"/>
      <c r="SNK553"/>
      <c r="SNL553"/>
      <c r="SNM553"/>
      <c r="SNN553"/>
      <c r="SNO553"/>
      <c r="SNP553"/>
      <c r="SNQ553"/>
      <c r="SNR553"/>
      <c r="SNS553"/>
      <c r="SNT553"/>
      <c r="SNU553"/>
      <c r="SNV553"/>
      <c r="SNW553"/>
      <c r="SNX553"/>
      <c r="SNY553"/>
      <c r="SNZ553"/>
      <c r="SOA553"/>
      <c r="SOB553"/>
      <c r="SOC553"/>
      <c r="SOD553"/>
      <c r="SOE553"/>
      <c r="SOF553"/>
      <c r="SOG553"/>
      <c r="SOH553"/>
      <c r="SOI553"/>
      <c r="SOJ553"/>
      <c r="SOK553"/>
      <c r="SOL553"/>
      <c r="SOM553"/>
      <c r="SON553"/>
      <c r="SOO553"/>
      <c r="SOP553"/>
      <c r="SOQ553"/>
      <c r="SOR553"/>
      <c r="SOS553"/>
      <c r="SOT553"/>
      <c r="SOU553"/>
      <c r="SOV553"/>
      <c r="SOW553"/>
      <c r="SOX553"/>
      <c r="SOY553"/>
      <c r="SOZ553"/>
      <c r="SPA553"/>
      <c r="SPB553"/>
      <c r="SPC553"/>
      <c r="SPD553"/>
      <c r="SPE553"/>
      <c r="SPF553"/>
      <c r="SPG553"/>
      <c r="SPH553"/>
      <c r="SPI553"/>
      <c r="SPJ553"/>
      <c r="SPK553"/>
      <c r="SPL553"/>
      <c r="SPM553"/>
      <c r="SPN553"/>
      <c r="SPO553"/>
      <c r="SPP553"/>
      <c r="SPQ553"/>
      <c r="SPR553"/>
      <c r="SPS553"/>
      <c r="SPT553"/>
      <c r="SPU553"/>
      <c r="SPV553"/>
      <c r="SPW553"/>
      <c r="SPX553"/>
      <c r="SPY553"/>
      <c r="SPZ553"/>
      <c r="SQA553"/>
      <c r="SQB553"/>
      <c r="SQC553"/>
      <c r="SQD553"/>
      <c r="SQE553"/>
      <c r="SQF553"/>
      <c r="SQG553"/>
      <c r="SQH553"/>
      <c r="SQI553"/>
      <c r="SQJ553"/>
      <c r="SQK553"/>
      <c r="SQL553"/>
      <c r="SQM553"/>
      <c r="SQN553"/>
      <c r="SQO553"/>
      <c r="SQP553"/>
      <c r="SQQ553"/>
      <c r="SQR553"/>
      <c r="SQS553"/>
      <c r="SQT553"/>
      <c r="SQU553"/>
      <c r="SQV553"/>
      <c r="SQW553"/>
      <c r="SQX553"/>
      <c r="SQY553"/>
      <c r="SQZ553"/>
      <c r="SRA553"/>
      <c r="SRB553"/>
      <c r="SRC553"/>
      <c r="SRD553"/>
      <c r="SRE553"/>
      <c r="SRF553"/>
      <c r="SRG553"/>
      <c r="SRH553"/>
      <c r="SRI553"/>
      <c r="SRJ553"/>
      <c r="SRK553"/>
      <c r="SRL553"/>
      <c r="SRM553"/>
      <c r="SRN553"/>
      <c r="SRO553"/>
      <c r="SRP553"/>
      <c r="SRQ553"/>
      <c r="SRR553"/>
      <c r="SRS553"/>
      <c r="SRT553"/>
      <c r="SRU553"/>
      <c r="SRV553"/>
      <c r="SRW553"/>
      <c r="SRX553"/>
      <c r="SRY553"/>
      <c r="SRZ553"/>
      <c r="SSA553"/>
      <c r="SSB553"/>
      <c r="SSC553"/>
      <c r="SSD553"/>
      <c r="SSE553"/>
      <c r="SSF553"/>
      <c r="SSG553"/>
      <c r="SSH553"/>
      <c r="SSI553"/>
      <c r="SSJ553"/>
      <c r="SSK553"/>
      <c r="SSL553"/>
      <c r="SSM553"/>
      <c r="SSN553"/>
      <c r="SSO553"/>
      <c r="SSP553"/>
      <c r="SSQ553"/>
      <c r="SSR553"/>
      <c r="SSS553"/>
      <c r="SST553"/>
      <c r="SSU553"/>
      <c r="SSV553"/>
      <c r="SSW553"/>
      <c r="SSX553"/>
      <c r="SSY553"/>
      <c r="SSZ553"/>
      <c r="STA553"/>
      <c r="STB553"/>
      <c r="STC553"/>
      <c r="STD553"/>
      <c r="STE553"/>
      <c r="STF553"/>
      <c r="STG553"/>
      <c r="STH553"/>
      <c r="STI553"/>
      <c r="STJ553"/>
      <c r="STK553"/>
      <c r="STL553"/>
      <c r="STM553"/>
      <c r="STN553"/>
      <c r="STO553"/>
      <c r="STP553"/>
      <c r="STQ553"/>
      <c r="STR553"/>
      <c r="STS553"/>
      <c r="STT553"/>
      <c r="STU553"/>
      <c r="STV553"/>
      <c r="STW553"/>
      <c r="STX553"/>
      <c r="STY553"/>
      <c r="STZ553"/>
      <c r="SUA553"/>
      <c r="SUB553"/>
      <c r="SUC553"/>
      <c r="SUD553"/>
      <c r="SUE553"/>
      <c r="SUF553"/>
      <c r="SUG553"/>
      <c r="SUH553"/>
      <c r="SUI553"/>
      <c r="SUJ553"/>
      <c r="SUK553"/>
      <c r="SUL553"/>
      <c r="SUM553"/>
      <c r="SUN553"/>
      <c r="SUO553"/>
      <c r="SUP553"/>
      <c r="SUQ553"/>
      <c r="SUR553"/>
      <c r="SUS553"/>
      <c r="SUT553"/>
      <c r="SUU553"/>
      <c r="SUV553"/>
      <c r="SUW553"/>
      <c r="SUX553"/>
      <c r="SUY553"/>
      <c r="SUZ553"/>
      <c r="SVA553"/>
      <c r="SVB553"/>
      <c r="SVC553"/>
      <c r="SVD553"/>
      <c r="SVE553"/>
      <c r="SVF553"/>
      <c r="SVG553"/>
      <c r="SVH553"/>
      <c r="SVI553"/>
      <c r="SVJ553"/>
      <c r="SVK553"/>
      <c r="SVL553"/>
      <c r="SVM553"/>
      <c r="SVN553"/>
      <c r="SVO553"/>
      <c r="SVP553"/>
      <c r="SVQ553"/>
      <c r="SVR553"/>
      <c r="SVS553"/>
      <c r="SVT553"/>
      <c r="SVU553"/>
      <c r="SVV553"/>
      <c r="SVW553"/>
      <c r="SVX553"/>
      <c r="SVY553"/>
      <c r="SVZ553"/>
      <c r="SWA553"/>
      <c r="SWB553"/>
      <c r="SWC553"/>
      <c r="SWD553"/>
      <c r="SWE553"/>
      <c r="SWF553"/>
      <c r="SWG553"/>
      <c r="SWH553"/>
      <c r="SWI553"/>
      <c r="SWJ553"/>
      <c r="SWK553"/>
      <c r="SWL553"/>
      <c r="SWM553"/>
      <c r="SWN553"/>
      <c r="SWO553"/>
      <c r="SWP553"/>
      <c r="SWQ553"/>
      <c r="SWR553"/>
      <c r="SWS553"/>
      <c r="SWT553"/>
      <c r="SWU553"/>
      <c r="SWV553"/>
      <c r="SWW553"/>
      <c r="SWX553"/>
      <c r="SWY553"/>
      <c r="SWZ553"/>
      <c r="SXA553"/>
      <c r="SXB553"/>
      <c r="SXC553"/>
      <c r="SXD553"/>
      <c r="SXE553"/>
      <c r="SXF553"/>
      <c r="SXG553"/>
      <c r="SXH553"/>
      <c r="SXI553"/>
      <c r="SXJ553"/>
      <c r="SXK553"/>
      <c r="SXL553"/>
      <c r="SXM553"/>
      <c r="SXN553"/>
      <c r="SXO553"/>
      <c r="SXP553"/>
      <c r="SXQ553"/>
      <c r="SXR553"/>
      <c r="SXS553"/>
      <c r="SXT553"/>
      <c r="SXU553"/>
      <c r="SXV553"/>
      <c r="SXW553"/>
      <c r="SXX553"/>
      <c r="SXY553"/>
      <c r="SXZ553"/>
      <c r="SYA553"/>
      <c r="SYB553"/>
      <c r="SYC553"/>
      <c r="SYD553"/>
      <c r="SYE553"/>
      <c r="SYF553"/>
      <c r="SYG553"/>
      <c r="SYH553"/>
      <c r="SYI553"/>
      <c r="SYJ553"/>
      <c r="SYK553"/>
      <c r="SYL553"/>
      <c r="SYM553"/>
      <c r="SYN553"/>
      <c r="SYO553"/>
      <c r="SYP553"/>
      <c r="SYQ553"/>
      <c r="SYR553"/>
      <c r="SYS553"/>
      <c r="SYT553"/>
      <c r="SYU553"/>
      <c r="SYV553"/>
      <c r="SYW553"/>
      <c r="SYX553"/>
      <c r="SYY553"/>
      <c r="SYZ553"/>
      <c r="SZA553"/>
      <c r="SZB553"/>
      <c r="SZC553"/>
      <c r="SZD553"/>
      <c r="SZE553"/>
      <c r="SZF553"/>
      <c r="SZG553"/>
      <c r="SZH553"/>
      <c r="SZI553"/>
      <c r="SZJ553"/>
      <c r="SZK553"/>
      <c r="SZL553"/>
      <c r="SZM553"/>
      <c r="SZN553"/>
      <c r="SZO553"/>
      <c r="SZP553"/>
      <c r="SZQ553"/>
      <c r="SZR553"/>
      <c r="SZS553"/>
      <c r="SZT553"/>
      <c r="SZU553"/>
      <c r="SZV553"/>
      <c r="SZW553"/>
      <c r="SZX553"/>
      <c r="SZY553"/>
      <c r="SZZ553"/>
      <c r="TAA553"/>
      <c r="TAB553"/>
      <c r="TAC553"/>
      <c r="TAD553"/>
      <c r="TAE553"/>
      <c r="TAF553"/>
      <c r="TAG553"/>
      <c r="TAH553"/>
      <c r="TAI553"/>
      <c r="TAJ553"/>
      <c r="TAK553"/>
      <c r="TAL553"/>
      <c r="TAM553"/>
      <c r="TAN553"/>
      <c r="TAO553"/>
      <c r="TAP553"/>
      <c r="TAQ553"/>
      <c r="TAR553"/>
      <c r="TAS553"/>
      <c r="TAT553"/>
      <c r="TAU553"/>
      <c r="TAV553"/>
      <c r="TAW553"/>
      <c r="TAX553"/>
      <c r="TAY553"/>
      <c r="TAZ553"/>
      <c r="TBA553"/>
      <c r="TBB553"/>
      <c r="TBC553"/>
      <c r="TBD553"/>
      <c r="TBE553"/>
      <c r="TBF553"/>
      <c r="TBG553"/>
      <c r="TBH553"/>
      <c r="TBI553"/>
      <c r="TBJ553"/>
      <c r="TBK553"/>
      <c r="TBL553"/>
      <c r="TBM553"/>
      <c r="TBN553"/>
      <c r="TBO553"/>
      <c r="TBP553"/>
      <c r="TBQ553"/>
      <c r="TBR553"/>
      <c r="TBS553"/>
      <c r="TBT553"/>
      <c r="TBU553"/>
      <c r="TBV553"/>
      <c r="TBW553"/>
      <c r="TBX553"/>
      <c r="TBY553"/>
      <c r="TBZ553"/>
      <c r="TCA553"/>
      <c r="TCB553"/>
      <c r="TCC553"/>
      <c r="TCD553"/>
      <c r="TCE553"/>
      <c r="TCF553"/>
      <c r="TCG553"/>
      <c r="TCH553"/>
      <c r="TCI553"/>
      <c r="TCJ553"/>
      <c r="TCK553"/>
      <c r="TCL553"/>
      <c r="TCM553"/>
      <c r="TCN553"/>
      <c r="TCO553"/>
      <c r="TCP553"/>
      <c r="TCQ553"/>
      <c r="TCR553"/>
      <c r="TCS553"/>
      <c r="TCT553"/>
      <c r="TCU553"/>
      <c r="TCV553"/>
      <c r="TCW553"/>
      <c r="TCX553"/>
      <c r="TCY553"/>
      <c r="TCZ553"/>
      <c r="TDA553"/>
      <c r="TDB553"/>
      <c r="TDC553"/>
      <c r="TDD553"/>
      <c r="TDE553"/>
      <c r="TDF553"/>
      <c r="TDG553"/>
      <c r="TDH553"/>
      <c r="TDI553"/>
      <c r="TDJ553"/>
      <c r="TDK553"/>
      <c r="TDL553"/>
      <c r="TDM553"/>
      <c r="TDN553"/>
      <c r="TDO553"/>
      <c r="TDP553"/>
      <c r="TDQ553"/>
      <c r="TDR553"/>
      <c r="TDS553"/>
      <c r="TDT553"/>
      <c r="TDU553"/>
      <c r="TDV553"/>
      <c r="TDW553"/>
      <c r="TDX553"/>
      <c r="TDY553"/>
      <c r="TDZ553"/>
      <c r="TEA553"/>
      <c r="TEB553"/>
      <c r="TEC553"/>
      <c r="TED553"/>
      <c r="TEE553"/>
      <c r="TEF553"/>
      <c r="TEG553"/>
      <c r="TEH553"/>
      <c r="TEI553"/>
      <c r="TEJ553"/>
      <c r="TEK553"/>
      <c r="TEL553"/>
      <c r="TEM553"/>
      <c r="TEN553"/>
      <c r="TEO553"/>
      <c r="TEP553"/>
      <c r="TEQ553"/>
      <c r="TER553"/>
      <c r="TES553"/>
      <c r="TET553"/>
      <c r="TEU553"/>
      <c r="TEV553"/>
      <c r="TEW553"/>
      <c r="TEX553"/>
      <c r="TEY553"/>
      <c r="TEZ553"/>
      <c r="TFA553"/>
      <c r="TFB553"/>
      <c r="TFC553"/>
      <c r="TFD553"/>
      <c r="TFE553"/>
      <c r="TFF553"/>
      <c r="TFG553"/>
      <c r="TFH553"/>
      <c r="TFI553"/>
      <c r="TFJ553"/>
      <c r="TFK553"/>
      <c r="TFL553"/>
      <c r="TFM553"/>
      <c r="TFN553"/>
      <c r="TFO553"/>
      <c r="TFP553"/>
      <c r="TFQ553"/>
      <c r="TFR553"/>
      <c r="TFS553"/>
      <c r="TFT553"/>
      <c r="TFU553"/>
      <c r="TFV553"/>
      <c r="TFW553"/>
      <c r="TFX553"/>
      <c r="TFY553"/>
      <c r="TFZ553"/>
      <c r="TGA553"/>
      <c r="TGB553"/>
      <c r="TGC553"/>
      <c r="TGD553"/>
      <c r="TGE553"/>
      <c r="TGF553"/>
      <c r="TGG553"/>
      <c r="TGH553"/>
      <c r="TGI553"/>
      <c r="TGJ553"/>
      <c r="TGK553"/>
      <c r="TGL553"/>
      <c r="TGM553"/>
      <c r="TGN553"/>
      <c r="TGO553"/>
      <c r="TGP553"/>
      <c r="TGQ553"/>
      <c r="TGR553"/>
      <c r="TGS553"/>
      <c r="TGT553"/>
      <c r="TGU553"/>
      <c r="TGV553"/>
      <c r="TGW553"/>
      <c r="TGX553"/>
      <c r="TGY553"/>
      <c r="TGZ553"/>
      <c r="THA553"/>
      <c r="THB553"/>
      <c r="THC553"/>
      <c r="THD553"/>
      <c r="THE553"/>
      <c r="THF553"/>
      <c r="THG553"/>
      <c r="THH553"/>
      <c r="THI553"/>
      <c r="THJ553"/>
      <c r="THK553"/>
      <c r="THL553"/>
      <c r="THM553"/>
      <c r="THN553"/>
      <c r="THO553"/>
      <c r="THP553"/>
      <c r="THQ553"/>
      <c r="THR553"/>
      <c r="THS553"/>
      <c r="THT553"/>
      <c r="THU553"/>
      <c r="THV553"/>
      <c r="THW553"/>
      <c r="THX553"/>
      <c r="THY553"/>
      <c r="THZ553"/>
      <c r="TIA553"/>
      <c r="TIB553"/>
      <c r="TIC553"/>
      <c r="TID553"/>
      <c r="TIE553"/>
      <c r="TIF553"/>
      <c r="TIG553"/>
      <c r="TIH553"/>
      <c r="TII553"/>
      <c r="TIJ553"/>
      <c r="TIK553"/>
      <c r="TIL553"/>
      <c r="TIM553"/>
      <c r="TIN553"/>
      <c r="TIO553"/>
      <c r="TIP553"/>
      <c r="TIQ553"/>
      <c r="TIR553"/>
      <c r="TIS553"/>
      <c r="TIT553"/>
      <c r="TIU553"/>
      <c r="TIV553"/>
      <c r="TIW553"/>
      <c r="TIX553"/>
      <c r="TIY553"/>
      <c r="TIZ553"/>
      <c r="TJA553"/>
      <c r="TJB553"/>
      <c r="TJC553"/>
      <c r="TJD553"/>
      <c r="TJE553"/>
      <c r="TJF553"/>
      <c r="TJG553"/>
      <c r="TJH553"/>
      <c r="TJI553"/>
      <c r="TJJ553"/>
      <c r="TJK553"/>
      <c r="TJL553"/>
      <c r="TJM553"/>
      <c r="TJN553"/>
      <c r="TJO553"/>
      <c r="TJP553"/>
      <c r="TJQ553"/>
      <c r="TJR553"/>
      <c r="TJS553"/>
      <c r="TJT553"/>
      <c r="TJU553"/>
      <c r="TJV553"/>
      <c r="TJW553"/>
      <c r="TJX553"/>
      <c r="TJY553"/>
      <c r="TJZ553"/>
      <c r="TKA553"/>
      <c r="TKB553"/>
      <c r="TKC553"/>
      <c r="TKD553"/>
      <c r="TKE553"/>
      <c r="TKF553"/>
      <c r="TKG553"/>
      <c r="TKH553"/>
      <c r="TKI553"/>
      <c r="TKJ553"/>
      <c r="TKK553"/>
      <c r="TKL553"/>
      <c r="TKM553"/>
      <c r="TKN553"/>
      <c r="TKO553"/>
      <c r="TKP553"/>
      <c r="TKQ553"/>
      <c r="TKR553"/>
      <c r="TKS553"/>
      <c r="TKT553"/>
      <c r="TKU553"/>
      <c r="TKV553"/>
      <c r="TKW553"/>
      <c r="TKX553"/>
      <c r="TKY553"/>
      <c r="TKZ553"/>
      <c r="TLA553"/>
      <c r="TLB553"/>
      <c r="TLC553"/>
      <c r="TLD553"/>
      <c r="TLE553"/>
      <c r="TLF553"/>
      <c r="TLG553"/>
      <c r="TLH553"/>
      <c r="TLI553"/>
      <c r="TLJ553"/>
      <c r="TLK553"/>
      <c r="TLL553"/>
      <c r="TLM553"/>
      <c r="TLN553"/>
      <c r="TLO553"/>
      <c r="TLP553"/>
      <c r="TLQ553"/>
      <c r="TLR553"/>
      <c r="TLS553"/>
      <c r="TLT553"/>
      <c r="TLU553"/>
      <c r="TLV553"/>
      <c r="TLW553"/>
      <c r="TLX553"/>
      <c r="TLY553"/>
      <c r="TLZ553"/>
      <c r="TMA553"/>
      <c r="TMB553"/>
      <c r="TMC553"/>
      <c r="TMD553"/>
      <c r="TME553"/>
      <c r="TMF553"/>
      <c r="TMG553"/>
      <c r="TMH553"/>
      <c r="TMI553"/>
      <c r="TMJ553"/>
      <c r="TMK553"/>
      <c r="TML553"/>
      <c r="TMM553"/>
      <c r="TMN553"/>
      <c r="TMO553"/>
      <c r="TMP553"/>
      <c r="TMQ553"/>
      <c r="TMR553"/>
      <c r="TMS553"/>
      <c r="TMT553"/>
      <c r="TMU553"/>
      <c r="TMV553"/>
      <c r="TMW553"/>
      <c r="TMX553"/>
      <c r="TMY553"/>
      <c r="TMZ553"/>
      <c r="TNA553"/>
      <c r="TNB553"/>
      <c r="TNC553"/>
      <c r="TND553"/>
      <c r="TNE553"/>
      <c r="TNF553"/>
      <c r="TNG553"/>
      <c r="TNH553"/>
      <c r="TNI553"/>
      <c r="TNJ553"/>
      <c r="TNK553"/>
      <c r="TNL553"/>
      <c r="TNM553"/>
      <c r="TNN553"/>
      <c r="TNO553"/>
      <c r="TNP553"/>
      <c r="TNQ553"/>
      <c r="TNR553"/>
      <c r="TNS553"/>
      <c r="TNT553"/>
      <c r="TNU553"/>
      <c r="TNV553"/>
      <c r="TNW553"/>
      <c r="TNX553"/>
      <c r="TNY553"/>
      <c r="TNZ553"/>
      <c r="TOA553"/>
      <c r="TOB553"/>
      <c r="TOC553"/>
      <c r="TOD553"/>
      <c r="TOE553"/>
      <c r="TOF553"/>
      <c r="TOG553"/>
      <c r="TOH553"/>
      <c r="TOI553"/>
      <c r="TOJ553"/>
      <c r="TOK553"/>
      <c r="TOL553"/>
      <c r="TOM553"/>
      <c r="TON553"/>
      <c r="TOO553"/>
      <c r="TOP553"/>
      <c r="TOQ553"/>
      <c r="TOR553"/>
      <c r="TOS553"/>
      <c r="TOT553"/>
      <c r="TOU553"/>
      <c r="TOV553"/>
      <c r="TOW553"/>
      <c r="TOX553"/>
      <c r="TOY553"/>
      <c r="TOZ553"/>
      <c r="TPA553"/>
      <c r="TPB553"/>
      <c r="TPC553"/>
      <c r="TPD553"/>
      <c r="TPE553"/>
      <c r="TPF553"/>
      <c r="TPG553"/>
      <c r="TPH553"/>
      <c r="TPI553"/>
      <c r="TPJ553"/>
      <c r="TPK553"/>
      <c r="TPL553"/>
      <c r="TPM553"/>
      <c r="TPN553"/>
      <c r="TPO553"/>
      <c r="TPP553"/>
      <c r="TPQ553"/>
      <c r="TPR553"/>
      <c r="TPS553"/>
      <c r="TPT553"/>
      <c r="TPU553"/>
      <c r="TPV553"/>
      <c r="TPW553"/>
      <c r="TPX553"/>
      <c r="TPY553"/>
      <c r="TPZ553"/>
      <c r="TQA553"/>
      <c r="TQB553"/>
      <c r="TQC553"/>
      <c r="TQD553"/>
      <c r="TQE553"/>
      <c r="TQF553"/>
      <c r="TQG553"/>
      <c r="TQH553"/>
      <c r="TQI553"/>
      <c r="TQJ553"/>
      <c r="TQK553"/>
      <c r="TQL553"/>
      <c r="TQM553"/>
      <c r="TQN553"/>
      <c r="TQO553"/>
      <c r="TQP553"/>
      <c r="TQQ553"/>
      <c r="TQR553"/>
      <c r="TQS553"/>
      <c r="TQT553"/>
      <c r="TQU553"/>
      <c r="TQV553"/>
      <c r="TQW553"/>
      <c r="TQX553"/>
      <c r="TQY553"/>
      <c r="TQZ553"/>
      <c r="TRA553"/>
      <c r="TRB553"/>
      <c r="TRC553"/>
      <c r="TRD553"/>
      <c r="TRE553"/>
      <c r="TRF553"/>
      <c r="TRG553"/>
      <c r="TRH553"/>
      <c r="TRI553"/>
      <c r="TRJ553"/>
      <c r="TRK553"/>
      <c r="TRL553"/>
      <c r="TRM553"/>
      <c r="TRN553"/>
      <c r="TRO553"/>
      <c r="TRP553"/>
      <c r="TRQ553"/>
      <c r="TRR553"/>
      <c r="TRS553"/>
      <c r="TRT553"/>
      <c r="TRU553"/>
      <c r="TRV553"/>
      <c r="TRW553"/>
      <c r="TRX553"/>
      <c r="TRY553"/>
      <c r="TRZ553"/>
      <c r="TSA553"/>
      <c r="TSB553"/>
      <c r="TSC553"/>
      <c r="TSD553"/>
      <c r="TSE553"/>
      <c r="TSF553"/>
      <c r="TSG553"/>
      <c r="TSH553"/>
      <c r="TSI553"/>
      <c r="TSJ553"/>
      <c r="TSK553"/>
      <c r="TSL553"/>
      <c r="TSM553"/>
      <c r="TSN553"/>
      <c r="TSO553"/>
      <c r="TSP553"/>
      <c r="TSQ553"/>
      <c r="TSR553"/>
      <c r="TSS553"/>
      <c r="TST553"/>
      <c r="TSU553"/>
      <c r="TSV553"/>
      <c r="TSW553"/>
      <c r="TSX553"/>
      <c r="TSY553"/>
      <c r="TSZ553"/>
      <c r="TTA553"/>
      <c r="TTB553"/>
      <c r="TTC553"/>
      <c r="TTD553"/>
      <c r="TTE553"/>
      <c r="TTF553"/>
      <c r="TTG553"/>
      <c r="TTH553"/>
      <c r="TTI553"/>
      <c r="TTJ553"/>
      <c r="TTK553"/>
      <c r="TTL553"/>
      <c r="TTM553"/>
      <c r="TTN553"/>
      <c r="TTO553"/>
      <c r="TTP553"/>
      <c r="TTQ553"/>
      <c r="TTR553"/>
      <c r="TTS553"/>
      <c r="TTT553"/>
      <c r="TTU553"/>
      <c r="TTV553"/>
      <c r="TTW553"/>
      <c r="TTX553"/>
      <c r="TTY553"/>
      <c r="TTZ553"/>
      <c r="TUA553"/>
      <c r="TUB553"/>
      <c r="TUC553"/>
      <c r="TUD553"/>
      <c r="TUE553"/>
      <c r="TUF553"/>
      <c r="TUG553"/>
      <c r="TUH553"/>
      <c r="TUI553"/>
      <c r="TUJ553"/>
      <c r="TUK553"/>
      <c r="TUL553"/>
      <c r="TUM553"/>
      <c r="TUN553"/>
      <c r="TUO553"/>
      <c r="TUP553"/>
      <c r="TUQ553"/>
      <c r="TUR553"/>
      <c r="TUS553"/>
      <c r="TUT553"/>
      <c r="TUU553"/>
      <c r="TUV553"/>
      <c r="TUW553"/>
      <c r="TUX553"/>
      <c r="TUY553"/>
      <c r="TUZ553"/>
      <c r="TVA553"/>
      <c r="TVB553"/>
      <c r="TVC553"/>
      <c r="TVD553"/>
      <c r="TVE553"/>
      <c r="TVF553"/>
      <c r="TVG553"/>
      <c r="TVH553"/>
      <c r="TVI553"/>
      <c r="TVJ553"/>
      <c r="TVK553"/>
      <c r="TVL553"/>
      <c r="TVM553"/>
      <c r="TVN553"/>
      <c r="TVO553"/>
      <c r="TVP553"/>
      <c r="TVQ553"/>
      <c r="TVR553"/>
      <c r="TVS553"/>
      <c r="TVT553"/>
      <c r="TVU553"/>
      <c r="TVV553"/>
      <c r="TVW553"/>
      <c r="TVX553"/>
      <c r="TVY553"/>
      <c r="TVZ553"/>
      <c r="TWA553"/>
      <c r="TWB553"/>
      <c r="TWC553"/>
      <c r="TWD553"/>
      <c r="TWE553"/>
      <c r="TWF553"/>
      <c r="TWG553"/>
      <c r="TWH553"/>
      <c r="TWI553"/>
      <c r="TWJ553"/>
      <c r="TWK553"/>
      <c r="TWL553"/>
      <c r="TWM553"/>
      <c r="TWN553"/>
      <c r="TWO553"/>
      <c r="TWP553"/>
      <c r="TWQ553"/>
      <c r="TWR553"/>
      <c r="TWS553"/>
      <c r="TWT553"/>
      <c r="TWU553"/>
      <c r="TWV553"/>
      <c r="TWW553"/>
      <c r="TWX553"/>
      <c r="TWY553"/>
      <c r="TWZ553"/>
      <c r="TXA553"/>
      <c r="TXB553"/>
      <c r="TXC553"/>
      <c r="TXD553"/>
      <c r="TXE553"/>
      <c r="TXF553"/>
      <c r="TXG553"/>
      <c r="TXH553"/>
      <c r="TXI553"/>
      <c r="TXJ553"/>
      <c r="TXK553"/>
      <c r="TXL553"/>
      <c r="TXM553"/>
      <c r="TXN553"/>
      <c r="TXO553"/>
      <c r="TXP553"/>
      <c r="TXQ553"/>
      <c r="TXR553"/>
      <c r="TXS553"/>
      <c r="TXT553"/>
      <c r="TXU553"/>
      <c r="TXV553"/>
      <c r="TXW553"/>
      <c r="TXX553"/>
      <c r="TXY553"/>
      <c r="TXZ553"/>
      <c r="TYA553"/>
      <c r="TYB553"/>
      <c r="TYC553"/>
      <c r="TYD553"/>
      <c r="TYE553"/>
      <c r="TYF553"/>
      <c r="TYG553"/>
      <c r="TYH553"/>
      <c r="TYI553"/>
      <c r="TYJ553"/>
      <c r="TYK553"/>
      <c r="TYL553"/>
      <c r="TYM553"/>
      <c r="TYN553"/>
      <c r="TYO553"/>
      <c r="TYP553"/>
      <c r="TYQ553"/>
      <c r="TYR553"/>
      <c r="TYS553"/>
      <c r="TYT553"/>
      <c r="TYU553"/>
      <c r="TYV553"/>
      <c r="TYW553"/>
      <c r="TYX553"/>
      <c r="TYY553"/>
      <c r="TYZ553"/>
      <c r="TZA553"/>
      <c r="TZB553"/>
      <c r="TZC553"/>
      <c r="TZD553"/>
      <c r="TZE553"/>
      <c r="TZF553"/>
      <c r="TZG553"/>
      <c r="TZH553"/>
      <c r="TZI553"/>
      <c r="TZJ553"/>
      <c r="TZK553"/>
      <c r="TZL553"/>
      <c r="TZM553"/>
      <c r="TZN553"/>
      <c r="TZO553"/>
      <c r="TZP553"/>
      <c r="TZQ553"/>
      <c r="TZR553"/>
      <c r="TZS553"/>
      <c r="TZT553"/>
      <c r="TZU553"/>
      <c r="TZV553"/>
      <c r="TZW553"/>
      <c r="TZX553"/>
      <c r="TZY553"/>
      <c r="TZZ553"/>
      <c r="UAA553"/>
      <c r="UAB553"/>
      <c r="UAC553"/>
      <c r="UAD553"/>
      <c r="UAE553"/>
      <c r="UAF553"/>
      <c r="UAG553"/>
      <c r="UAH553"/>
      <c r="UAI553"/>
      <c r="UAJ553"/>
      <c r="UAK553"/>
      <c r="UAL553"/>
      <c r="UAM553"/>
      <c r="UAN553"/>
      <c r="UAO553"/>
      <c r="UAP553"/>
      <c r="UAQ553"/>
      <c r="UAR553"/>
      <c r="UAS553"/>
      <c r="UAT553"/>
      <c r="UAU553"/>
      <c r="UAV553"/>
      <c r="UAW553"/>
      <c r="UAX553"/>
      <c r="UAY553"/>
      <c r="UAZ553"/>
      <c r="UBA553"/>
      <c r="UBB553"/>
      <c r="UBC553"/>
      <c r="UBD553"/>
      <c r="UBE553"/>
      <c r="UBF553"/>
      <c r="UBG553"/>
      <c r="UBH553"/>
      <c r="UBI553"/>
      <c r="UBJ553"/>
      <c r="UBK553"/>
      <c r="UBL553"/>
      <c r="UBM553"/>
      <c r="UBN553"/>
      <c r="UBO553"/>
      <c r="UBP553"/>
      <c r="UBQ553"/>
      <c r="UBR553"/>
      <c r="UBS553"/>
      <c r="UBT553"/>
      <c r="UBU553"/>
      <c r="UBV553"/>
      <c r="UBW553"/>
      <c r="UBX553"/>
      <c r="UBY553"/>
      <c r="UBZ553"/>
      <c r="UCA553"/>
      <c r="UCB553"/>
      <c r="UCC553"/>
      <c r="UCD553"/>
      <c r="UCE553"/>
      <c r="UCF553"/>
      <c r="UCG553"/>
      <c r="UCH553"/>
      <c r="UCI553"/>
      <c r="UCJ553"/>
      <c r="UCK553"/>
      <c r="UCL553"/>
      <c r="UCM553"/>
      <c r="UCN553"/>
      <c r="UCO553"/>
      <c r="UCP553"/>
      <c r="UCQ553"/>
      <c r="UCR553"/>
      <c r="UCS553"/>
      <c r="UCT553"/>
      <c r="UCU553"/>
      <c r="UCV553"/>
      <c r="UCW553"/>
      <c r="UCX553"/>
      <c r="UCY553"/>
      <c r="UCZ553"/>
      <c r="UDA553"/>
      <c r="UDB553"/>
      <c r="UDC553"/>
      <c r="UDD553"/>
      <c r="UDE553"/>
      <c r="UDF553"/>
      <c r="UDG553"/>
      <c r="UDH553"/>
      <c r="UDI553"/>
      <c r="UDJ553"/>
      <c r="UDK553"/>
      <c r="UDL553"/>
      <c r="UDM553"/>
      <c r="UDN553"/>
      <c r="UDO553"/>
      <c r="UDP553"/>
      <c r="UDQ553"/>
      <c r="UDR553"/>
      <c r="UDS553"/>
      <c r="UDT553"/>
      <c r="UDU553"/>
      <c r="UDV553"/>
      <c r="UDW553"/>
      <c r="UDX553"/>
      <c r="UDY553"/>
      <c r="UDZ553"/>
      <c r="UEA553"/>
      <c r="UEB553"/>
      <c r="UEC553"/>
      <c r="UED553"/>
      <c r="UEE553"/>
      <c r="UEF553"/>
      <c r="UEG553"/>
      <c r="UEH553"/>
      <c r="UEI553"/>
      <c r="UEJ553"/>
      <c r="UEK553"/>
      <c r="UEL553"/>
      <c r="UEM553"/>
      <c r="UEN553"/>
      <c r="UEO553"/>
      <c r="UEP553"/>
      <c r="UEQ553"/>
      <c r="UER553"/>
      <c r="UES553"/>
      <c r="UET553"/>
      <c r="UEU553"/>
      <c r="UEV553"/>
      <c r="UEW553"/>
      <c r="UEX553"/>
      <c r="UEY553"/>
      <c r="UEZ553"/>
      <c r="UFA553"/>
      <c r="UFB553"/>
      <c r="UFC553"/>
      <c r="UFD553"/>
      <c r="UFE553"/>
      <c r="UFF553"/>
      <c r="UFG553"/>
      <c r="UFH553"/>
      <c r="UFI553"/>
      <c r="UFJ553"/>
      <c r="UFK553"/>
      <c r="UFL553"/>
      <c r="UFM553"/>
      <c r="UFN553"/>
      <c r="UFO553"/>
      <c r="UFP553"/>
      <c r="UFQ553"/>
      <c r="UFR553"/>
      <c r="UFS553"/>
      <c r="UFT553"/>
      <c r="UFU553"/>
      <c r="UFV553"/>
      <c r="UFW553"/>
      <c r="UFX553"/>
      <c r="UFY553"/>
      <c r="UFZ553"/>
      <c r="UGA553"/>
      <c r="UGB553"/>
      <c r="UGC553"/>
      <c r="UGD553"/>
      <c r="UGE553"/>
      <c r="UGF553"/>
      <c r="UGG553"/>
      <c r="UGH553"/>
      <c r="UGI553"/>
      <c r="UGJ553"/>
      <c r="UGK553"/>
      <c r="UGL553"/>
      <c r="UGM553"/>
      <c r="UGN553"/>
      <c r="UGO553"/>
      <c r="UGP553"/>
      <c r="UGQ553"/>
      <c r="UGR553"/>
      <c r="UGS553"/>
      <c r="UGT553"/>
      <c r="UGU553"/>
      <c r="UGV553"/>
      <c r="UGW553"/>
      <c r="UGX553"/>
      <c r="UGY553"/>
      <c r="UGZ553"/>
      <c r="UHA553"/>
      <c r="UHB553"/>
      <c r="UHC553"/>
      <c r="UHD553"/>
      <c r="UHE553"/>
      <c r="UHF553"/>
      <c r="UHG553"/>
      <c r="UHH553"/>
      <c r="UHI553"/>
      <c r="UHJ553"/>
      <c r="UHK553"/>
      <c r="UHL553"/>
      <c r="UHM553"/>
      <c r="UHN553"/>
      <c r="UHO553"/>
      <c r="UHP553"/>
      <c r="UHQ553"/>
      <c r="UHR553"/>
      <c r="UHS553"/>
      <c r="UHT553"/>
      <c r="UHU553"/>
      <c r="UHV553"/>
      <c r="UHW553"/>
      <c r="UHX553"/>
      <c r="UHY553"/>
      <c r="UHZ553"/>
      <c r="UIA553"/>
      <c r="UIB553"/>
      <c r="UIC553"/>
      <c r="UID553"/>
      <c r="UIE553"/>
      <c r="UIF553"/>
      <c r="UIG553"/>
      <c r="UIH553"/>
      <c r="UII553"/>
      <c r="UIJ553"/>
      <c r="UIK553"/>
      <c r="UIL553"/>
      <c r="UIM553"/>
      <c r="UIN553"/>
      <c r="UIO553"/>
      <c r="UIP553"/>
      <c r="UIQ553"/>
      <c r="UIR553"/>
      <c r="UIS553"/>
      <c r="UIT553"/>
      <c r="UIU553"/>
      <c r="UIV553"/>
      <c r="UIW553"/>
      <c r="UIX553"/>
      <c r="UIY553"/>
      <c r="UIZ553"/>
      <c r="UJA553"/>
      <c r="UJB553"/>
      <c r="UJC553"/>
      <c r="UJD553"/>
      <c r="UJE553"/>
      <c r="UJF553"/>
      <c r="UJG553"/>
      <c r="UJH553"/>
      <c r="UJI553"/>
      <c r="UJJ553"/>
      <c r="UJK553"/>
      <c r="UJL553"/>
      <c r="UJM553"/>
      <c r="UJN553"/>
      <c r="UJO553"/>
      <c r="UJP553"/>
      <c r="UJQ553"/>
      <c r="UJR553"/>
      <c r="UJS553"/>
      <c r="UJT553"/>
      <c r="UJU553"/>
      <c r="UJV553"/>
      <c r="UJW553"/>
      <c r="UJX553"/>
      <c r="UJY553"/>
      <c r="UJZ553"/>
      <c r="UKA553"/>
      <c r="UKB553"/>
      <c r="UKC553"/>
      <c r="UKD553"/>
      <c r="UKE553"/>
      <c r="UKF553"/>
      <c r="UKG553"/>
      <c r="UKH553"/>
      <c r="UKI553"/>
      <c r="UKJ553"/>
      <c r="UKK553"/>
      <c r="UKL553"/>
      <c r="UKM553"/>
      <c r="UKN553"/>
      <c r="UKO553"/>
      <c r="UKP553"/>
      <c r="UKQ553"/>
      <c r="UKR553"/>
      <c r="UKS553"/>
      <c r="UKT553"/>
      <c r="UKU553"/>
      <c r="UKV553"/>
      <c r="UKW553"/>
      <c r="UKX553"/>
      <c r="UKY553"/>
      <c r="UKZ553"/>
      <c r="ULA553"/>
      <c r="ULB553"/>
      <c r="ULC553"/>
      <c r="ULD553"/>
      <c r="ULE553"/>
      <c r="ULF553"/>
      <c r="ULG553"/>
      <c r="ULH553"/>
      <c r="ULI553"/>
      <c r="ULJ553"/>
      <c r="ULK553"/>
      <c r="ULL553"/>
      <c r="ULM553"/>
      <c r="ULN553"/>
      <c r="ULO553"/>
      <c r="ULP553"/>
      <c r="ULQ553"/>
      <c r="ULR553"/>
      <c r="ULS553"/>
      <c r="ULT553"/>
      <c r="ULU553"/>
      <c r="ULV553"/>
      <c r="ULW553"/>
      <c r="ULX553"/>
      <c r="ULY553"/>
      <c r="ULZ553"/>
      <c r="UMA553"/>
      <c r="UMB553"/>
      <c r="UMC553"/>
      <c r="UMD553"/>
      <c r="UME553"/>
      <c r="UMF553"/>
      <c r="UMG553"/>
      <c r="UMH553"/>
      <c r="UMI553"/>
      <c r="UMJ553"/>
      <c r="UMK553"/>
      <c r="UML553"/>
      <c r="UMM553"/>
      <c r="UMN553"/>
      <c r="UMO553"/>
      <c r="UMP553"/>
      <c r="UMQ553"/>
      <c r="UMR553"/>
      <c r="UMS553"/>
      <c r="UMT553"/>
      <c r="UMU553"/>
      <c r="UMV553"/>
      <c r="UMW553"/>
      <c r="UMX553"/>
      <c r="UMY553"/>
      <c r="UMZ553"/>
      <c r="UNA553"/>
      <c r="UNB553"/>
      <c r="UNC553"/>
      <c r="UND553"/>
      <c r="UNE553"/>
      <c r="UNF553"/>
      <c r="UNG553"/>
      <c r="UNH553"/>
      <c r="UNI553"/>
      <c r="UNJ553"/>
      <c r="UNK553"/>
      <c r="UNL553"/>
      <c r="UNM553"/>
      <c r="UNN553"/>
      <c r="UNO553"/>
      <c r="UNP553"/>
      <c r="UNQ553"/>
      <c r="UNR553"/>
      <c r="UNS553"/>
      <c r="UNT553"/>
      <c r="UNU553"/>
      <c r="UNV553"/>
      <c r="UNW553"/>
      <c r="UNX553"/>
      <c r="UNY553"/>
      <c r="UNZ553"/>
      <c r="UOA553"/>
      <c r="UOB553"/>
      <c r="UOC553"/>
      <c r="UOD553"/>
      <c r="UOE553"/>
      <c r="UOF553"/>
      <c r="UOG553"/>
      <c r="UOH553"/>
      <c r="UOI553"/>
      <c r="UOJ553"/>
      <c r="UOK553"/>
      <c r="UOL553"/>
      <c r="UOM553"/>
      <c r="UON553"/>
      <c r="UOO553"/>
      <c r="UOP553"/>
      <c r="UOQ553"/>
      <c r="UOR553"/>
      <c r="UOS553"/>
      <c r="UOT553"/>
      <c r="UOU553"/>
      <c r="UOV553"/>
      <c r="UOW553"/>
      <c r="UOX553"/>
      <c r="UOY553"/>
      <c r="UOZ553"/>
      <c r="UPA553"/>
      <c r="UPB553"/>
      <c r="UPC553"/>
      <c r="UPD553"/>
      <c r="UPE553"/>
      <c r="UPF553"/>
      <c r="UPG553"/>
      <c r="UPH553"/>
      <c r="UPI553"/>
      <c r="UPJ553"/>
      <c r="UPK553"/>
      <c r="UPL553"/>
      <c r="UPM553"/>
      <c r="UPN553"/>
      <c r="UPO553"/>
      <c r="UPP553"/>
      <c r="UPQ553"/>
      <c r="UPR553"/>
      <c r="UPS553"/>
      <c r="UPT553"/>
      <c r="UPU553"/>
      <c r="UPV553"/>
      <c r="UPW553"/>
      <c r="UPX553"/>
      <c r="UPY553"/>
      <c r="UPZ553"/>
      <c r="UQA553"/>
      <c r="UQB553"/>
      <c r="UQC553"/>
      <c r="UQD553"/>
      <c r="UQE553"/>
      <c r="UQF553"/>
      <c r="UQG553"/>
      <c r="UQH553"/>
      <c r="UQI553"/>
      <c r="UQJ553"/>
      <c r="UQK553"/>
      <c r="UQL553"/>
      <c r="UQM553"/>
      <c r="UQN553"/>
      <c r="UQO553"/>
      <c r="UQP553"/>
      <c r="UQQ553"/>
      <c r="UQR553"/>
      <c r="UQS553"/>
      <c r="UQT553"/>
      <c r="UQU553"/>
      <c r="UQV553"/>
      <c r="UQW553"/>
      <c r="UQX553"/>
      <c r="UQY553"/>
      <c r="UQZ553"/>
      <c r="URA553"/>
      <c r="URB553"/>
      <c r="URC553"/>
      <c r="URD553"/>
      <c r="URE553"/>
      <c r="URF553"/>
      <c r="URG553"/>
      <c r="URH553"/>
      <c r="URI553"/>
      <c r="URJ553"/>
      <c r="URK553"/>
      <c r="URL553"/>
      <c r="URM553"/>
      <c r="URN553"/>
      <c r="URO553"/>
      <c r="URP553"/>
      <c r="URQ553"/>
      <c r="URR553"/>
      <c r="URS553"/>
      <c r="URT553"/>
      <c r="URU553"/>
      <c r="URV553"/>
      <c r="URW553"/>
      <c r="URX553"/>
      <c r="URY553"/>
      <c r="URZ553"/>
      <c r="USA553"/>
      <c r="USB553"/>
      <c r="USC553"/>
      <c r="USD553"/>
      <c r="USE553"/>
      <c r="USF553"/>
      <c r="USG553"/>
      <c r="USH553"/>
      <c r="USI553"/>
      <c r="USJ553"/>
      <c r="USK553"/>
      <c r="USL553"/>
      <c r="USM553"/>
      <c r="USN553"/>
      <c r="USO553"/>
      <c r="USP553"/>
      <c r="USQ553"/>
      <c r="USR553"/>
      <c r="USS553"/>
      <c r="UST553"/>
      <c r="USU553"/>
      <c r="USV553"/>
      <c r="USW553"/>
      <c r="USX553"/>
      <c r="USY553"/>
      <c r="USZ553"/>
      <c r="UTA553"/>
      <c r="UTB553"/>
      <c r="UTC553"/>
      <c r="UTD553"/>
      <c r="UTE553"/>
      <c r="UTF553"/>
      <c r="UTG553"/>
      <c r="UTH553"/>
      <c r="UTI553"/>
      <c r="UTJ553"/>
      <c r="UTK553"/>
      <c r="UTL553"/>
      <c r="UTM553"/>
      <c r="UTN553"/>
      <c r="UTO553"/>
      <c r="UTP553"/>
      <c r="UTQ553"/>
      <c r="UTR553"/>
      <c r="UTS553"/>
      <c r="UTT553"/>
      <c r="UTU553"/>
      <c r="UTV553"/>
      <c r="UTW553"/>
      <c r="UTX553"/>
      <c r="UTY553"/>
      <c r="UTZ553"/>
      <c r="UUA553"/>
      <c r="UUB553"/>
      <c r="UUC553"/>
      <c r="UUD553"/>
      <c r="UUE553"/>
      <c r="UUF553"/>
      <c r="UUG553"/>
      <c r="UUH553"/>
      <c r="UUI553"/>
      <c r="UUJ553"/>
      <c r="UUK553"/>
      <c r="UUL553"/>
      <c r="UUM553"/>
      <c r="UUN553"/>
      <c r="UUO553"/>
      <c r="UUP553"/>
      <c r="UUQ553"/>
      <c r="UUR553"/>
      <c r="UUS553"/>
      <c r="UUT553"/>
      <c r="UUU553"/>
      <c r="UUV553"/>
      <c r="UUW553"/>
      <c r="UUX553"/>
      <c r="UUY553"/>
      <c r="UUZ553"/>
      <c r="UVA553"/>
      <c r="UVB553"/>
      <c r="UVC553"/>
      <c r="UVD553"/>
      <c r="UVE553"/>
      <c r="UVF553"/>
      <c r="UVG553"/>
      <c r="UVH553"/>
      <c r="UVI553"/>
      <c r="UVJ553"/>
      <c r="UVK553"/>
      <c r="UVL553"/>
      <c r="UVM553"/>
      <c r="UVN553"/>
      <c r="UVO553"/>
      <c r="UVP553"/>
      <c r="UVQ553"/>
      <c r="UVR553"/>
      <c r="UVS553"/>
      <c r="UVT553"/>
      <c r="UVU553"/>
      <c r="UVV553"/>
      <c r="UVW553"/>
      <c r="UVX553"/>
      <c r="UVY553"/>
      <c r="UVZ553"/>
      <c r="UWA553"/>
      <c r="UWB553"/>
      <c r="UWC553"/>
      <c r="UWD553"/>
      <c r="UWE553"/>
      <c r="UWF553"/>
      <c r="UWG553"/>
      <c r="UWH553"/>
      <c r="UWI553"/>
      <c r="UWJ553"/>
      <c r="UWK553"/>
      <c r="UWL553"/>
      <c r="UWM553"/>
      <c r="UWN553"/>
      <c r="UWO553"/>
      <c r="UWP553"/>
      <c r="UWQ553"/>
      <c r="UWR553"/>
      <c r="UWS553"/>
      <c r="UWT553"/>
      <c r="UWU553"/>
      <c r="UWV553"/>
      <c r="UWW553"/>
      <c r="UWX553"/>
      <c r="UWY553"/>
      <c r="UWZ553"/>
      <c r="UXA553"/>
      <c r="UXB553"/>
      <c r="UXC553"/>
      <c r="UXD553"/>
      <c r="UXE553"/>
      <c r="UXF553"/>
      <c r="UXG553"/>
      <c r="UXH553"/>
      <c r="UXI553"/>
      <c r="UXJ553"/>
      <c r="UXK553"/>
      <c r="UXL553"/>
      <c r="UXM553"/>
      <c r="UXN553"/>
      <c r="UXO553"/>
      <c r="UXP553"/>
      <c r="UXQ553"/>
      <c r="UXR553"/>
      <c r="UXS553"/>
      <c r="UXT553"/>
      <c r="UXU553"/>
      <c r="UXV553"/>
      <c r="UXW553"/>
      <c r="UXX553"/>
      <c r="UXY553"/>
      <c r="UXZ553"/>
      <c r="UYA553"/>
      <c r="UYB553"/>
      <c r="UYC553"/>
      <c r="UYD553"/>
      <c r="UYE553"/>
      <c r="UYF553"/>
      <c r="UYG553"/>
      <c r="UYH553"/>
      <c r="UYI553"/>
      <c r="UYJ553"/>
      <c r="UYK553"/>
      <c r="UYL553"/>
      <c r="UYM553"/>
      <c r="UYN553"/>
      <c r="UYO553"/>
      <c r="UYP553"/>
      <c r="UYQ553"/>
      <c r="UYR553"/>
      <c r="UYS553"/>
      <c r="UYT553"/>
      <c r="UYU553"/>
      <c r="UYV553"/>
      <c r="UYW553"/>
      <c r="UYX553"/>
      <c r="UYY553"/>
      <c r="UYZ553"/>
      <c r="UZA553"/>
      <c r="UZB553"/>
      <c r="UZC553"/>
      <c r="UZD553"/>
      <c r="UZE553"/>
      <c r="UZF553"/>
      <c r="UZG553"/>
      <c r="UZH553"/>
      <c r="UZI553"/>
      <c r="UZJ553"/>
      <c r="UZK553"/>
      <c r="UZL553"/>
      <c r="UZM553"/>
      <c r="UZN553"/>
      <c r="UZO553"/>
      <c r="UZP553"/>
      <c r="UZQ553"/>
      <c r="UZR553"/>
      <c r="UZS553"/>
      <c r="UZT553"/>
      <c r="UZU553"/>
      <c r="UZV553"/>
      <c r="UZW553"/>
      <c r="UZX553"/>
      <c r="UZY553"/>
      <c r="UZZ553"/>
      <c r="VAA553"/>
      <c r="VAB553"/>
      <c r="VAC553"/>
      <c r="VAD553"/>
      <c r="VAE553"/>
      <c r="VAF553"/>
      <c r="VAG553"/>
      <c r="VAH553"/>
      <c r="VAI553"/>
      <c r="VAJ553"/>
      <c r="VAK553"/>
      <c r="VAL553"/>
      <c r="VAM553"/>
      <c r="VAN553"/>
      <c r="VAO553"/>
      <c r="VAP553"/>
      <c r="VAQ553"/>
      <c r="VAR553"/>
      <c r="VAS553"/>
      <c r="VAT553"/>
      <c r="VAU553"/>
      <c r="VAV553"/>
      <c r="VAW553"/>
      <c r="VAX553"/>
      <c r="VAY553"/>
      <c r="VAZ553"/>
      <c r="VBA553"/>
      <c r="VBB553"/>
      <c r="VBC553"/>
      <c r="VBD553"/>
      <c r="VBE553"/>
      <c r="VBF553"/>
      <c r="VBG553"/>
      <c r="VBH553"/>
      <c r="VBI553"/>
      <c r="VBJ553"/>
      <c r="VBK553"/>
      <c r="VBL553"/>
      <c r="VBM553"/>
      <c r="VBN553"/>
      <c r="VBO553"/>
      <c r="VBP553"/>
      <c r="VBQ553"/>
      <c r="VBR553"/>
      <c r="VBS553"/>
      <c r="VBT553"/>
      <c r="VBU553"/>
      <c r="VBV553"/>
      <c r="VBW553"/>
      <c r="VBX553"/>
      <c r="VBY553"/>
      <c r="VBZ553"/>
      <c r="VCA553"/>
      <c r="VCB553"/>
      <c r="VCC553"/>
      <c r="VCD553"/>
      <c r="VCE553"/>
      <c r="VCF553"/>
      <c r="VCG553"/>
      <c r="VCH553"/>
      <c r="VCI553"/>
      <c r="VCJ553"/>
      <c r="VCK553"/>
      <c r="VCL553"/>
      <c r="VCM553"/>
      <c r="VCN553"/>
      <c r="VCO553"/>
      <c r="VCP553"/>
      <c r="VCQ553"/>
      <c r="VCR553"/>
      <c r="VCS553"/>
      <c r="VCT553"/>
      <c r="VCU553"/>
      <c r="VCV553"/>
      <c r="VCW553"/>
      <c r="VCX553"/>
      <c r="VCY553"/>
      <c r="VCZ553"/>
      <c r="VDA553"/>
      <c r="VDB553"/>
      <c r="VDC553"/>
      <c r="VDD553"/>
      <c r="VDE553"/>
      <c r="VDF553"/>
      <c r="VDG553"/>
      <c r="VDH553"/>
      <c r="VDI553"/>
      <c r="VDJ553"/>
      <c r="VDK553"/>
      <c r="VDL553"/>
      <c r="VDM553"/>
      <c r="VDN553"/>
      <c r="VDO553"/>
      <c r="VDP553"/>
      <c r="VDQ553"/>
      <c r="VDR553"/>
      <c r="VDS553"/>
      <c r="VDT553"/>
      <c r="VDU553"/>
      <c r="VDV553"/>
      <c r="VDW553"/>
      <c r="VDX553"/>
      <c r="VDY553"/>
      <c r="VDZ553"/>
      <c r="VEA553"/>
      <c r="VEB553"/>
      <c r="VEC553"/>
      <c r="VED553"/>
      <c r="VEE553"/>
      <c r="VEF553"/>
      <c r="VEG553"/>
      <c r="VEH553"/>
      <c r="VEI553"/>
      <c r="VEJ553"/>
      <c r="VEK553"/>
      <c r="VEL553"/>
      <c r="VEM553"/>
      <c r="VEN553"/>
      <c r="VEO553"/>
      <c r="VEP553"/>
      <c r="VEQ553"/>
      <c r="VER553"/>
      <c r="VES553"/>
      <c r="VET553"/>
      <c r="VEU553"/>
      <c r="VEV553"/>
      <c r="VEW553"/>
      <c r="VEX553"/>
      <c r="VEY553"/>
      <c r="VEZ553"/>
      <c r="VFA553"/>
      <c r="VFB553"/>
      <c r="VFC553"/>
      <c r="VFD553"/>
      <c r="VFE553"/>
      <c r="VFF553"/>
      <c r="VFG553"/>
      <c r="VFH553"/>
      <c r="VFI553"/>
      <c r="VFJ553"/>
      <c r="VFK553"/>
      <c r="VFL553"/>
      <c r="VFM553"/>
      <c r="VFN553"/>
      <c r="VFO553"/>
      <c r="VFP553"/>
      <c r="VFQ553"/>
      <c r="VFR553"/>
      <c r="VFS553"/>
      <c r="VFT553"/>
      <c r="VFU553"/>
      <c r="VFV553"/>
      <c r="VFW553"/>
      <c r="VFX553"/>
      <c r="VFY553"/>
      <c r="VFZ553"/>
      <c r="VGA553"/>
      <c r="VGB553"/>
      <c r="VGC553"/>
      <c r="VGD553"/>
      <c r="VGE553"/>
      <c r="VGF553"/>
      <c r="VGG553"/>
      <c r="VGH553"/>
      <c r="VGI553"/>
      <c r="VGJ553"/>
      <c r="VGK553"/>
      <c r="VGL553"/>
      <c r="VGM553"/>
      <c r="VGN553"/>
      <c r="VGO553"/>
      <c r="VGP553"/>
      <c r="VGQ553"/>
      <c r="VGR553"/>
      <c r="VGS553"/>
      <c r="VGT553"/>
      <c r="VGU553"/>
      <c r="VGV553"/>
      <c r="VGW553"/>
      <c r="VGX553"/>
      <c r="VGY553"/>
      <c r="VGZ553"/>
      <c r="VHA553"/>
      <c r="VHB553"/>
      <c r="VHC553"/>
      <c r="VHD553"/>
      <c r="VHE553"/>
      <c r="VHF553"/>
      <c r="VHG553"/>
      <c r="VHH553"/>
      <c r="VHI553"/>
      <c r="VHJ553"/>
      <c r="VHK553"/>
      <c r="VHL553"/>
      <c r="VHM553"/>
      <c r="VHN553"/>
      <c r="VHO553"/>
      <c r="VHP553"/>
      <c r="VHQ553"/>
      <c r="VHR553"/>
      <c r="VHS553"/>
      <c r="VHT553"/>
      <c r="VHU553"/>
      <c r="VHV553"/>
      <c r="VHW553"/>
      <c r="VHX553"/>
      <c r="VHY553"/>
      <c r="VHZ553"/>
      <c r="VIA553"/>
      <c r="VIB553"/>
      <c r="VIC553"/>
      <c r="VID553"/>
      <c r="VIE553"/>
      <c r="VIF553"/>
      <c r="VIG553"/>
      <c r="VIH553"/>
      <c r="VII553"/>
      <c r="VIJ553"/>
      <c r="VIK553"/>
      <c r="VIL553"/>
      <c r="VIM553"/>
      <c r="VIN553"/>
      <c r="VIO553"/>
      <c r="VIP553"/>
      <c r="VIQ553"/>
      <c r="VIR553"/>
      <c r="VIS553"/>
      <c r="VIT553"/>
      <c r="VIU553"/>
      <c r="VIV553"/>
      <c r="VIW553"/>
      <c r="VIX553"/>
      <c r="VIY553"/>
      <c r="VIZ553"/>
      <c r="VJA553"/>
      <c r="VJB553"/>
      <c r="VJC553"/>
      <c r="VJD553"/>
      <c r="VJE553"/>
      <c r="VJF553"/>
      <c r="VJG553"/>
      <c r="VJH553"/>
      <c r="VJI553"/>
      <c r="VJJ553"/>
      <c r="VJK553"/>
      <c r="VJL553"/>
      <c r="VJM553"/>
      <c r="VJN553"/>
      <c r="VJO553"/>
      <c r="VJP553"/>
      <c r="VJQ553"/>
      <c r="VJR553"/>
      <c r="VJS553"/>
      <c r="VJT553"/>
      <c r="VJU553"/>
      <c r="VJV553"/>
      <c r="VJW553"/>
      <c r="VJX553"/>
      <c r="VJY553"/>
      <c r="VJZ553"/>
      <c r="VKA553"/>
      <c r="VKB553"/>
      <c r="VKC553"/>
      <c r="VKD553"/>
      <c r="VKE553"/>
      <c r="VKF553"/>
      <c r="VKG553"/>
      <c r="VKH553"/>
      <c r="VKI553"/>
      <c r="VKJ553"/>
      <c r="VKK553"/>
      <c r="VKL553"/>
      <c r="VKM553"/>
      <c r="VKN553"/>
      <c r="VKO553"/>
      <c r="VKP553"/>
      <c r="VKQ553"/>
      <c r="VKR553"/>
      <c r="VKS553"/>
      <c r="VKT553"/>
      <c r="VKU553"/>
      <c r="VKV553"/>
      <c r="VKW553"/>
      <c r="VKX553"/>
      <c r="VKY553"/>
      <c r="VKZ553"/>
      <c r="VLA553"/>
      <c r="VLB553"/>
      <c r="VLC553"/>
      <c r="VLD553"/>
      <c r="VLE553"/>
      <c r="VLF553"/>
      <c r="VLG553"/>
      <c r="VLH553"/>
      <c r="VLI553"/>
      <c r="VLJ553"/>
      <c r="VLK553"/>
      <c r="VLL553"/>
      <c r="VLM553"/>
      <c r="VLN553"/>
      <c r="VLO553"/>
      <c r="VLP553"/>
      <c r="VLQ553"/>
      <c r="VLR553"/>
      <c r="VLS553"/>
      <c r="VLT553"/>
      <c r="VLU553"/>
      <c r="VLV553"/>
      <c r="VLW553"/>
      <c r="VLX553"/>
      <c r="VLY553"/>
      <c r="VLZ553"/>
      <c r="VMA553"/>
      <c r="VMB553"/>
      <c r="VMC553"/>
      <c r="VMD553"/>
      <c r="VME553"/>
      <c r="VMF553"/>
      <c r="VMG553"/>
      <c r="VMH553"/>
      <c r="VMI553"/>
      <c r="VMJ553"/>
      <c r="VMK553"/>
      <c r="VML553"/>
      <c r="VMM553"/>
      <c r="VMN553"/>
      <c r="VMO553"/>
      <c r="VMP553"/>
      <c r="VMQ553"/>
      <c r="VMR553"/>
      <c r="VMS553"/>
      <c r="VMT553"/>
      <c r="VMU553"/>
      <c r="VMV553"/>
      <c r="VMW553"/>
      <c r="VMX553"/>
      <c r="VMY553"/>
      <c r="VMZ553"/>
      <c r="VNA553"/>
      <c r="VNB553"/>
      <c r="VNC553"/>
      <c r="VND553"/>
      <c r="VNE553"/>
      <c r="VNF553"/>
      <c r="VNG553"/>
      <c r="VNH553"/>
      <c r="VNI553"/>
      <c r="VNJ553"/>
      <c r="VNK553"/>
      <c r="VNL553"/>
      <c r="VNM553"/>
      <c r="VNN553"/>
      <c r="VNO553"/>
      <c r="VNP553"/>
      <c r="VNQ553"/>
      <c r="VNR553"/>
      <c r="VNS553"/>
      <c r="VNT553"/>
      <c r="VNU553"/>
      <c r="VNV553"/>
      <c r="VNW553"/>
      <c r="VNX553"/>
      <c r="VNY553"/>
      <c r="VNZ553"/>
      <c r="VOA553"/>
      <c r="VOB553"/>
      <c r="VOC553"/>
      <c r="VOD553"/>
      <c r="VOE553"/>
      <c r="VOF553"/>
      <c r="VOG553"/>
      <c r="VOH553"/>
      <c r="VOI553"/>
      <c r="VOJ553"/>
      <c r="VOK553"/>
      <c r="VOL553"/>
      <c r="VOM553"/>
      <c r="VON553"/>
      <c r="VOO553"/>
      <c r="VOP553"/>
      <c r="VOQ553"/>
      <c r="VOR553"/>
      <c r="VOS553"/>
      <c r="VOT553"/>
      <c r="VOU553"/>
      <c r="VOV553"/>
      <c r="VOW553"/>
      <c r="VOX553"/>
      <c r="VOY553"/>
      <c r="VOZ553"/>
      <c r="VPA553"/>
      <c r="VPB553"/>
      <c r="VPC553"/>
      <c r="VPD553"/>
      <c r="VPE553"/>
      <c r="VPF553"/>
      <c r="VPG553"/>
      <c r="VPH553"/>
      <c r="VPI553"/>
      <c r="VPJ553"/>
      <c r="VPK553"/>
      <c r="VPL553"/>
      <c r="VPM553"/>
      <c r="VPN553"/>
      <c r="VPO553"/>
      <c r="VPP553"/>
      <c r="VPQ553"/>
      <c r="VPR553"/>
      <c r="VPS553"/>
      <c r="VPT553"/>
      <c r="VPU553"/>
      <c r="VPV553"/>
      <c r="VPW553"/>
      <c r="VPX553"/>
      <c r="VPY553"/>
      <c r="VPZ553"/>
      <c r="VQA553"/>
      <c r="VQB553"/>
      <c r="VQC553"/>
      <c r="VQD553"/>
      <c r="VQE553"/>
      <c r="VQF553"/>
      <c r="VQG553"/>
      <c r="VQH553"/>
      <c r="VQI553"/>
      <c r="VQJ553"/>
      <c r="VQK553"/>
      <c r="VQL553"/>
      <c r="VQM553"/>
      <c r="VQN553"/>
      <c r="VQO553"/>
      <c r="VQP553"/>
      <c r="VQQ553"/>
      <c r="VQR553"/>
      <c r="VQS553"/>
      <c r="VQT553"/>
      <c r="VQU553"/>
      <c r="VQV553"/>
      <c r="VQW553"/>
      <c r="VQX553"/>
      <c r="VQY553"/>
      <c r="VQZ553"/>
      <c r="VRA553"/>
      <c r="VRB553"/>
      <c r="VRC553"/>
      <c r="VRD553"/>
      <c r="VRE553"/>
      <c r="VRF553"/>
      <c r="VRG553"/>
      <c r="VRH553"/>
      <c r="VRI553"/>
      <c r="VRJ553"/>
      <c r="VRK553"/>
      <c r="VRL553"/>
      <c r="VRM553"/>
      <c r="VRN553"/>
      <c r="VRO553"/>
      <c r="VRP553"/>
      <c r="VRQ553"/>
      <c r="VRR553"/>
      <c r="VRS553"/>
      <c r="VRT553"/>
      <c r="VRU553"/>
      <c r="VRV553"/>
      <c r="VRW553"/>
      <c r="VRX553"/>
      <c r="VRY553"/>
      <c r="VRZ553"/>
      <c r="VSA553"/>
      <c r="VSB553"/>
      <c r="VSC553"/>
      <c r="VSD553"/>
      <c r="VSE553"/>
      <c r="VSF553"/>
      <c r="VSG553"/>
      <c r="VSH553"/>
      <c r="VSI553"/>
      <c r="VSJ553"/>
      <c r="VSK553"/>
      <c r="VSL553"/>
      <c r="VSM553"/>
      <c r="VSN553"/>
      <c r="VSO553"/>
      <c r="VSP553"/>
      <c r="VSQ553"/>
      <c r="VSR553"/>
      <c r="VSS553"/>
      <c r="VST553"/>
      <c r="VSU553"/>
      <c r="VSV553"/>
      <c r="VSW553"/>
      <c r="VSX553"/>
      <c r="VSY553"/>
      <c r="VSZ553"/>
      <c r="VTA553"/>
      <c r="VTB553"/>
      <c r="VTC553"/>
      <c r="VTD553"/>
      <c r="VTE553"/>
      <c r="VTF553"/>
      <c r="VTG553"/>
      <c r="VTH553"/>
      <c r="VTI553"/>
      <c r="VTJ553"/>
      <c r="VTK553"/>
      <c r="VTL553"/>
      <c r="VTM553"/>
      <c r="VTN553"/>
      <c r="VTO553"/>
      <c r="VTP553"/>
      <c r="VTQ553"/>
      <c r="VTR553"/>
      <c r="VTS553"/>
      <c r="VTT553"/>
      <c r="VTU553"/>
      <c r="VTV553"/>
      <c r="VTW553"/>
      <c r="VTX553"/>
      <c r="VTY553"/>
      <c r="VTZ553"/>
      <c r="VUA553"/>
      <c r="VUB553"/>
      <c r="VUC553"/>
      <c r="VUD553"/>
      <c r="VUE553"/>
      <c r="VUF553"/>
      <c r="VUG553"/>
      <c r="VUH553"/>
      <c r="VUI553"/>
      <c r="VUJ553"/>
      <c r="VUK553"/>
      <c r="VUL553"/>
      <c r="VUM553"/>
      <c r="VUN553"/>
      <c r="VUO553"/>
      <c r="VUP553"/>
      <c r="VUQ553"/>
      <c r="VUR553"/>
      <c r="VUS553"/>
      <c r="VUT553"/>
      <c r="VUU553"/>
      <c r="VUV553"/>
      <c r="VUW553"/>
      <c r="VUX553"/>
      <c r="VUY553"/>
      <c r="VUZ553"/>
      <c r="VVA553"/>
      <c r="VVB553"/>
      <c r="VVC553"/>
      <c r="VVD553"/>
      <c r="VVE553"/>
      <c r="VVF553"/>
      <c r="VVG553"/>
      <c r="VVH553"/>
      <c r="VVI553"/>
      <c r="VVJ553"/>
      <c r="VVK553"/>
      <c r="VVL553"/>
      <c r="VVM553"/>
      <c r="VVN553"/>
      <c r="VVO553"/>
      <c r="VVP553"/>
      <c r="VVQ553"/>
      <c r="VVR553"/>
      <c r="VVS553"/>
      <c r="VVT553"/>
      <c r="VVU553"/>
      <c r="VVV553"/>
      <c r="VVW553"/>
      <c r="VVX553"/>
      <c r="VVY553"/>
      <c r="VVZ553"/>
      <c r="VWA553"/>
      <c r="VWB553"/>
      <c r="VWC553"/>
      <c r="VWD553"/>
      <c r="VWE553"/>
      <c r="VWF553"/>
      <c r="VWG553"/>
      <c r="VWH553"/>
      <c r="VWI553"/>
      <c r="VWJ553"/>
      <c r="VWK553"/>
      <c r="VWL553"/>
      <c r="VWM553"/>
      <c r="VWN553"/>
      <c r="VWO553"/>
      <c r="VWP553"/>
      <c r="VWQ553"/>
      <c r="VWR553"/>
      <c r="VWS553"/>
      <c r="VWT553"/>
      <c r="VWU553"/>
      <c r="VWV553"/>
      <c r="VWW553"/>
      <c r="VWX553"/>
      <c r="VWY553"/>
      <c r="VWZ553"/>
      <c r="VXA553"/>
      <c r="VXB553"/>
      <c r="VXC553"/>
      <c r="VXD553"/>
      <c r="VXE553"/>
      <c r="VXF553"/>
      <c r="VXG553"/>
      <c r="VXH553"/>
      <c r="VXI553"/>
      <c r="VXJ553"/>
      <c r="VXK553"/>
      <c r="VXL553"/>
      <c r="VXM553"/>
      <c r="VXN553"/>
      <c r="VXO553"/>
      <c r="VXP553"/>
      <c r="VXQ553"/>
      <c r="VXR553"/>
      <c r="VXS553"/>
      <c r="VXT553"/>
      <c r="VXU553"/>
      <c r="VXV553"/>
      <c r="VXW553"/>
      <c r="VXX553"/>
      <c r="VXY553"/>
      <c r="VXZ553"/>
      <c r="VYA553"/>
      <c r="VYB553"/>
      <c r="VYC553"/>
      <c r="VYD553"/>
      <c r="VYE553"/>
      <c r="VYF553"/>
      <c r="VYG553"/>
      <c r="VYH553"/>
      <c r="VYI553"/>
      <c r="VYJ553"/>
      <c r="VYK553"/>
      <c r="VYL553"/>
      <c r="VYM553"/>
      <c r="VYN553"/>
      <c r="VYO553"/>
      <c r="VYP553"/>
      <c r="VYQ553"/>
      <c r="VYR553"/>
      <c r="VYS553"/>
      <c r="VYT553"/>
      <c r="VYU553"/>
      <c r="VYV553"/>
      <c r="VYW553"/>
      <c r="VYX553"/>
      <c r="VYY553"/>
      <c r="VYZ553"/>
      <c r="VZA553"/>
      <c r="VZB553"/>
      <c r="VZC553"/>
      <c r="VZD553"/>
      <c r="VZE553"/>
      <c r="VZF553"/>
      <c r="VZG553"/>
      <c r="VZH553"/>
      <c r="VZI553"/>
      <c r="VZJ553"/>
      <c r="VZK553"/>
      <c r="VZL553"/>
      <c r="VZM553"/>
      <c r="VZN553"/>
      <c r="VZO553"/>
      <c r="VZP553"/>
      <c r="VZQ553"/>
      <c r="VZR553"/>
      <c r="VZS553"/>
      <c r="VZT553"/>
      <c r="VZU553"/>
      <c r="VZV553"/>
      <c r="VZW553"/>
      <c r="VZX553"/>
      <c r="VZY553"/>
      <c r="VZZ553"/>
      <c r="WAA553"/>
      <c r="WAB553"/>
      <c r="WAC553"/>
      <c r="WAD553"/>
      <c r="WAE553"/>
      <c r="WAF553"/>
      <c r="WAG553"/>
      <c r="WAH553"/>
      <c r="WAI553"/>
      <c r="WAJ553"/>
      <c r="WAK553"/>
      <c r="WAL553"/>
      <c r="WAM553"/>
      <c r="WAN553"/>
      <c r="WAO553"/>
      <c r="WAP553"/>
      <c r="WAQ553"/>
      <c r="WAR553"/>
      <c r="WAS553"/>
      <c r="WAT553"/>
      <c r="WAU553"/>
      <c r="WAV553"/>
      <c r="WAW553"/>
      <c r="WAX553"/>
      <c r="WAY553"/>
      <c r="WAZ553"/>
      <c r="WBA553"/>
      <c r="WBB553"/>
      <c r="WBC553"/>
      <c r="WBD553"/>
      <c r="WBE553"/>
      <c r="WBF553"/>
      <c r="WBG553"/>
      <c r="WBH553"/>
      <c r="WBI553"/>
      <c r="WBJ553"/>
      <c r="WBK553"/>
      <c r="WBL553"/>
      <c r="WBM553"/>
      <c r="WBN553"/>
      <c r="WBO553"/>
      <c r="WBP553"/>
      <c r="WBQ553"/>
      <c r="WBR553"/>
      <c r="WBS553"/>
      <c r="WBT553"/>
      <c r="WBU553"/>
      <c r="WBV553"/>
      <c r="WBW553"/>
      <c r="WBX553"/>
      <c r="WBY553"/>
      <c r="WBZ553"/>
      <c r="WCA553"/>
      <c r="WCB553"/>
      <c r="WCC553"/>
      <c r="WCD553"/>
      <c r="WCE553"/>
      <c r="WCF553"/>
      <c r="WCG553"/>
      <c r="WCH553"/>
      <c r="WCI553"/>
      <c r="WCJ553"/>
      <c r="WCK553"/>
      <c r="WCL553"/>
      <c r="WCM553"/>
      <c r="WCN553"/>
      <c r="WCO553"/>
      <c r="WCP553"/>
      <c r="WCQ553"/>
      <c r="WCR553"/>
      <c r="WCS553"/>
      <c r="WCT553"/>
      <c r="WCU553"/>
      <c r="WCV553"/>
      <c r="WCW553"/>
      <c r="WCX553"/>
      <c r="WCY553"/>
      <c r="WCZ553"/>
      <c r="WDA553"/>
      <c r="WDB553"/>
      <c r="WDC553"/>
      <c r="WDD553"/>
      <c r="WDE553"/>
      <c r="WDF553"/>
      <c r="WDG553"/>
      <c r="WDH553"/>
      <c r="WDI553"/>
      <c r="WDJ553"/>
      <c r="WDK553"/>
      <c r="WDL553"/>
      <c r="WDM553"/>
      <c r="WDN553"/>
      <c r="WDO553"/>
      <c r="WDP553"/>
      <c r="WDQ553"/>
      <c r="WDR553"/>
      <c r="WDS553"/>
      <c r="WDT553"/>
      <c r="WDU553"/>
      <c r="WDV553"/>
      <c r="WDW553"/>
      <c r="WDX553"/>
      <c r="WDY553"/>
      <c r="WDZ553"/>
      <c r="WEA553"/>
      <c r="WEB553"/>
      <c r="WEC553"/>
      <c r="WED553"/>
      <c r="WEE553"/>
      <c r="WEF553"/>
      <c r="WEG553"/>
      <c r="WEH553"/>
      <c r="WEI553"/>
      <c r="WEJ553"/>
      <c r="WEK553"/>
      <c r="WEL553"/>
      <c r="WEM553"/>
      <c r="WEN553"/>
      <c r="WEO553"/>
      <c r="WEP553"/>
      <c r="WEQ553"/>
      <c r="WER553"/>
      <c r="WES553"/>
      <c r="WET553"/>
      <c r="WEU553"/>
      <c r="WEV553"/>
      <c r="WEW553"/>
      <c r="WEX553"/>
      <c r="WEY553"/>
      <c r="WEZ553"/>
      <c r="WFA553"/>
      <c r="WFB553"/>
      <c r="WFC553"/>
      <c r="WFD553"/>
      <c r="WFE553"/>
      <c r="WFF553"/>
      <c r="WFG553"/>
      <c r="WFH553"/>
      <c r="WFI553"/>
      <c r="WFJ553"/>
      <c r="WFK553"/>
      <c r="WFL553"/>
      <c r="WFM553"/>
      <c r="WFN553"/>
      <c r="WFO553"/>
      <c r="WFP553"/>
      <c r="WFQ553"/>
      <c r="WFR553"/>
      <c r="WFS553"/>
      <c r="WFT553"/>
      <c r="WFU553"/>
      <c r="WFV553"/>
      <c r="WFW553"/>
      <c r="WFX553"/>
      <c r="WFY553"/>
      <c r="WFZ553"/>
      <c r="WGA553"/>
      <c r="WGB553"/>
      <c r="WGC553"/>
      <c r="WGD553"/>
      <c r="WGE553"/>
      <c r="WGF553"/>
      <c r="WGG553"/>
      <c r="WGH553"/>
      <c r="WGI553"/>
      <c r="WGJ553"/>
      <c r="WGK553"/>
      <c r="WGL553"/>
      <c r="WGM553"/>
      <c r="WGN553"/>
      <c r="WGO553"/>
      <c r="WGP553"/>
      <c r="WGQ553"/>
      <c r="WGR553"/>
      <c r="WGS553"/>
      <c r="WGT553"/>
      <c r="WGU553"/>
      <c r="WGV553"/>
      <c r="WGW553"/>
      <c r="WGX553"/>
      <c r="WGY553"/>
      <c r="WGZ553"/>
      <c r="WHA553"/>
      <c r="WHB553"/>
      <c r="WHC553"/>
      <c r="WHD553"/>
      <c r="WHE553"/>
      <c r="WHF553"/>
      <c r="WHG553"/>
      <c r="WHH553"/>
      <c r="WHI553"/>
      <c r="WHJ553"/>
      <c r="WHK553"/>
      <c r="WHL553"/>
      <c r="WHM553"/>
      <c r="WHN553"/>
      <c r="WHO553"/>
      <c r="WHP553"/>
      <c r="WHQ553"/>
      <c r="WHR553"/>
      <c r="WHS553"/>
      <c r="WHT553"/>
      <c r="WHU553"/>
      <c r="WHV553"/>
      <c r="WHW553"/>
      <c r="WHX553"/>
      <c r="WHY553"/>
      <c r="WHZ553"/>
      <c r="WIA553"/>
      <c r="WIB553"/>
      <c r="WIC553"/>
      <c r="WID553"/>
      <c r="WIE553"/>
      <c r="WIF553"/>
      <c r="WIG553"/>
      <c r="WIH553"/>
      <c r="WII553"/>
      <c r="WIJ553"/>
      <c r="WIK553"/>
      <c r="WIL553"/>
      <c r="WIM553"/>
      <c r="WIN553"/>
      <c r="WIO553"/>
      <c r="WIP553"/>
      <c r="WIQ553"/>
      <c r="WIR553"/>
      <c r="WIS553"/>
      <c r="WIT553"/>
      <c r="WIU553"/>
      <c r="WIV553"/>
      <c r="WIW553"/>
      <c r="WIX553"/>
      <c r="WIY553"/>
      <c r="WIZ553"/>
      <c r="WJA553"/>
      <c r="WJB553"/>
      <c r="WJC553"/>
      <c r="WJD553"/>
      <c r="WJE553"/>
      <c r="WJF553"/>
      <c r="WJG553"/>
      <c r="WJH553"/>
      <c r="WJI553"/>
      <c r="WJJ553"/>
      <c r="WJK553"/>
      <c r="WJL553"/>
      <c r="WJM553"/>
      <c r="WJN553"/>
      <c r="WJO553"/>
      <c r="WJP553"/>
      <c r="WJQ553"/>
      <c r="WJR553"/>
      <c r="WJS553"/>
      <c r="WJT553"/>
      <c r="WJU553"/>
      <c r="WJV553"/>
      <c r="WJW553"/>
      <c r="WJX553"/>
      <c r="WJY553"/>
      <c r="WJZ553"/>
      <c r="WKA553"/>
      <c r="WKB553"/>
      <c r="WKC553"/>
      <c r="WKD553"/>
      <c r="WKE553"/>
      <c r="WKF553"/>
      <c r="WKG553"/>
      <c r="WKH553"/>
      <c r="WKI553"/>
      <c r="WKJ553"/>
      <c r="WKK553"/>
      <c r="WKL553"/>
      <c r="WKM553"/>
      <c r="WKN553"/>
      <c r="WKO553"/>
      <c r="WKP553"/>
      <c r="WKQ553"/>
      <c r="WKR553"/>
      <c r="WKS553"/>
      <c r="WKT553"/>
      <c r="WKU553"/>
      <c r="WKV553"/>
      <c r="WKW553"/>
      <c r="WKX553"/>
      <c r="WKY553"/>
      <c r="WKZ553"/>
      <c r="WLA553"/>
      <c r="WLB553"/>
      <c r="WLC553"/>
      <c r="WLD553"/>
      <c r="WLE553"/>
      <c r="WLF553"/>
      <c r="WLG553"/>
      <c r="WLH553"/>
      <c r="WLI553"/>
      <c r="WLJ553"/>
      <c r="WLK553"/>
      <c r="WLL553"/>
      <c r="WLM553"/>
      <c r="WLN553"/>
      <c r="WLO553"/>
      <c r="WLP553"/>
      <c r="WLQ553"/>
      <c r="WLR553"/>
      <c r="WLS553"/>
      <c r="WLT553"/>
      <c r="WLU553"/>
      <c r="WLV553"/>
      <c r="WLW553"/>
      <c r="WLX553"/>
      <c r="WLY553"/>
      <c r="WLZ553"/>
      <c r="WMA553"/>
      <c r="WMB553"/>
      <c r="WMC553"/>
      <c r="WMD553"/>
      <c r="WME553"/>
      <c r="WMF553"/>
      <c r="WMG553"/>
      <c r="WMH553"/>
      <c r="WMI553"/>
      <c r="WMJ553"/>
      <c r="WMK553"/>
      <c r="WML553"/>
      <c r="WMM553"/>
      <c r="WMN553"/>
      <c r="WMO553"/>
      <c r="WMP553"/>
      <c r="WMQ553"/>
      <c r="WMR553"/>
      <c r="WMS553"/>
      <c r="WMT553"/>
      <c r="WMU553"/>
      <c r="WMV553"/>
      <c r="WMW553"/>
      <c r="WMX553"/>
      <c r="WMY553"/>
      <c r="WMZ553"/>
      <c r="WNA553"/>
      <c r="WNB553"/>
      <c r="WNC553"/>
      <c r="WND553"/>
      <c r="WNE553"/>
      <c r="WNF553"/>
      <c r="WNG553"/>
      <c r="WNH553"/>
      <c r="WNI553"/>
      <c r="WNJ553"/>
      <c r="WNK553"/>
      <c r="WNL553"/>
      <c r="WNM553"/>
      <c r="WNN553"/>
      <c r="WNO553"/>
      <c r="WNP553"/>
      <c r="WNQ553"/>
      <c r="WNR553"/>
      <c r="WNS553"/>
      <c r="WNT553"/>
      <c r="WNU553"/>
      <c r="WNV553"/>
      <c r="WNW553"/>
      <c r="WNX553"/>
      <c r="WNY553"/>
      <c r="WNZ553"/>
      <c r="WOA553"/>
      <c r="WOB553"/>
      <c r="WOC553"/>
      <c r="WOD553"/>
      <c r="WOE553"/>
      <c r="WOF553"/>
      <c r="WOG553"/>
      <c r="WOH553"/>
      <c r="WOI553"/>
      <c r="WOJ553"/>
      <c r="WOK553"/>
      <c r="WOL553"/>
      <c r="WOM553"/>
      <c r="WON553"/>
      <c r="WOO553"/>
      <c r="WOP553"/>
      <c r="WOQ553"/>
      <c r="WOR553"/>
      <c r="WOS553"/>
      <c r="WOT553"/>
      <c r="WOU553"/>
      <c r="WOV553"/>
      <c r="WOW553"/>
      <c r="WOX553"/>
      <c r="WOY553"/>
      <c r="WOZ553"/>
      <c r="WPA553"/>
      <c r="WPB553"/>
      <c r="WPC553"/>
      <c r="WPD553"/>
      <c r="WPE553"/>
      <c r="WPF553"/>
      <c r="WPG553"/>
      <c r="WPH553"/>
      <c r="WPI553"/>
      <c r="WPJ553"/>
      <c r="WPK553"/>
      <c r="WPL553"/>
      <c r="WPM553"/>
      <c r="WPN553"/>
      <c r="WPO553"/>
      <c r="WPP553"/>
      <c r="WPQ553"/>
      <c r="WPR553"/>
      <c r="WPS553"/>
      <c r="WPT553"/>
      <c r="WPU553"/>
      <c r="WPV553"/>
      <c r="WPW553"/>
      <c r="WPX553"/>
      <c r="WPY553"/>
      <c r="WPZ553"/>
      <c r="WQA553"/>
      <c r="WQB553"/>
      <c r="WQC553"/>
      <c r="WQD553"/>
      <c r="WQE553"/>
      <c r="WQF553"/>
      <c r="WQG553"/>
      <c r="WQH553"/>
      <c r="WQI553"/>
      <c r="WQJ553"/>
      <c r="WQK553"/>
      <c r="WQL553"/>
      <c r="WQM553"/>
      <c r="WQN553"/>
      <c r="WQO553"/>
      <c r="WQP553"/>
      <c r="WQQ553"/>
      <c r="WQR553"/>
      <c r="WQS553"/>
      <c r="WQT553"/>
      <c r="WQU553"/>
      <c r="WQV553"/>
      <c r="WQW553"/>
      <c r="WQX553"/>
      <c r="WQY553"/>
      <c r="WQZ553"/>
      <c r="WRA553"/>
      <c r="WRB553"/>
      <c r="WRC553"/>
      <c r="WRD553"/>
      <c r="WRE553"/>
      <c r="WRF553"/>
      <c r="WRG553"/>
      <c r="WRH553"/>
      <c r="WRI553"/>
      <c r="WRJ553"/>
      <c r="WRK553"/>
      <c r="WRL553"/>
      <c r="WRM553"/>
      <c r="WRN553"/>
      <c r="WRO553"/>
      <c r="WRP553"/>
      <c r="WRQ553"/>
      <c r="WRR553"/>
      <c r="WRS553"/>
      <c r="WRT553"/>
      <c r="WRU553"/>
      <c r="WRV553"/>
      <c r="WRW553"/>
      <c r="WRX553"/>
      <c r="WRY553"/>
      <c r="WRZ553"/>
      <c r="WSA553"/>
      <c r="WSB553"/>
      <c r="WSC553"/>
      <c r="WSD553"/>
      <c r="WSE553"/>
      <c r="WSF553"/>
      <c r="WSG553"/>
      <c r="WSH553"/>
      <c r="WSI553"/>
      <c r="WSJ553"/>
      <c r="WSK553"/>
      <c r="WSL553"/>
      <c r="WSM553"/>
      <c r="WSN553"/>
      <c r="WSO553"/>
      <c r="WSP553"/>
      <c r="WSQ553"/>
      <c r="WSR553"/>
      <c r="WSS553"/>
      <c r="WST553"/>
      <c r="WSU553"/>
      <c r="WSV553"/>
      <c r="WSW553"/>
      <c r="WSX553"/>
      <c r="WSY553"/>
      <c r="WSZ553"/>
      <c r="WTA553"/>
      <c r="WTB553"/>
      <c r="WTC553"/>
      <c r="WTD553"/>
      <c r="WTE553"/>
      <c r="WTF553"/>
      <c r="WTG553"/>
      <c r="WTH553"/>
      <c r="WTI553"/>
      <c r="WTJ553"/>
      <c r="WTK553"/>
      <c r="WTL553"/>
      <c r="WTM553"/>
      <c r="WTN553"/>
      <c r="WTO553"/>
      <c r="WTP553"/>
      <c r="WTQ553"/>
      <c r="WTR553"/>
      <c r="WTS553"/>
      <c r="WTT553"/>
      <c r="WTU553"/>
      <c r="WTV553"/>
      <c r="WTW553"/>
      <c r="WTX553"/>
      <c r="WTY553"/>
      <c r="WTZ553"/>
      <c r="WUA553"/>
      <c r="WUB553"/>
      <c r="WUC553"/>
      <c r="WUD553"/>
      <c r="WUE553"/>
      <c r="WUF553"/>
      <c r="WUG553"/>
      <c r="WUH553"/>
      <c r="WUI553"/>
      <c r="WUJ553"/>
      <c r="WUK553"/>
      <c r="WUL553"/>
      <c r="WUM553"/>
      <c r="WUN553"/>
      <c r="WUO553"/>
      <c r="WUP553"/>
      <c r="WUQ553"/>
      <c r="WUR553"/>
      <c r="WUS553"/>
      <c r="WUT553"/>
      <c r="WUU553"/>
      <c r="WUV553"/>
      <c r="WUW553"/>
      <c r="WUX553"/>
      <c r="WUY553"/>
      <c r="WUZ553"/>
      <c r="WVA553"/>
      <c r="WVB553"/>
      <c r="WVC553"/>
      <c r="WVD553"/>
      <c r="WVE553"/>
      <c r="WVF553"/>
      <c r="WVG553"/>
      <c r="WVH553"/>
      <c r="WVI553"/>
      <c r="WVJ553"/>
      <c r="WVK553"/>
      <c r="WVL553"/>
      <c r="WVM553"/>
      <c r="WVN553"/>
      <c r="WVO553"/>
      <c r="WVP553"/>
      <c r="WVQ553"/>
      <c r="WVR553"/>
      <c r="WVS553"/>
      <c r="WVT553"/>
      <c r="WVU553"/>
      <c r="WVV553"/>
      <c r="WVW553"/>
      <c r="WVX553"/>
      <c r="WVY553"/>
      <c r="WVZ553"/>
      <c r="WWA553"/>
      <c r="WWB553"/>
      <c r="WWC553"/>
      <c r="WWD553"/>
      <c r="WWE553"/>
      <c r="WWF553"/>
      <c r="WWG553"/>
      <c r="WWH553"/>
      <c r="WWI553"/>
      <c r="WWJ553"/>
      <c r="WWK553"/>
      <c r="WWL553"/>
      <c r="WWM553"/>
      <c r="WWN553"/>
      <c r="WWO553"/>
      <c r="WWP553"/>
      <c r="WWQ553"/>
      <c r="WWR553"/>
      <c r="WWS553"/>
      <c r="WWT553"/>
      <c r="WWU553"/>
      <c r="WWV553"/>
      <c r="WWW553"/>
      <c r="WWX553"/>
      <c r="WWY553"/>
      <c r="WWZ553"/>
      <c r="WXA553"/>
      <c r="WXB553"/>
      <c r="WXC553"/>
      <c r="WXD553"/>
      <c r="WXE553"/>
      <c r="WXF553"/>
      <c r="WXG553"/>
      <c r="WXH553"/>
      <c r="WXI553"/>
      <c r="WXJ553"/>
      <c r="WXK553"/>
      <c r="WXL553"/>
      <c r="WXM553"/>
      <c r="WXN553"/>
      <c r="WXO553"/>
      <c r="WXP553"/>
      <c r="WXQ553"/>
      <c r="WXR553"/>
      <c r="WXS553"/>
      <c r="WXT553"/>
      <c r="WXU553"/>
      <c r="WXV553"/>
      <c r="WXW553"/>
      <c r="WXX553"/>
      <c r="WXY553"/>
      <c r="WXZ553"/>
      <c r="WYA553"/>
      <c r="WYB553"/>
      <c r="WYC553"/>
      <c r="WYD553"/>
      <c r="WYE553"/>
      <c r="WYF553"/>
      <c r="WYG553"/>
      <c r="WYH553"/>
      <c r="WYI553"/>
      <c r="WYJ553"/>
      <c r="WYK553"/>
      <c r="WYL553"/>
      <c r="WYM553"/>
      <c r="WYN553"/>
      <c r="WYO553"/>
      <c r="WYP553"/>
      <c r="WYQ553"/>
      <c r="WYR553"/>
      <c r="WYS553"/>
      <c r="WYT553"/>
      <c r="WYU553"/>
      <c r="WYV553"/>
      <c r="WYW553"/>
      <c r="WYX553"/>
      <c r="WYY553"/>
      <c r="WYZ553"/>
      <c r="WZA553"/>
      <c r="WZB553"/>
      <c r="WZC553"/>
      <c r="WZD553"/>
      <c r="WZE553"/>
      <c r="WZF553"/>
      <c r="WZG553"/>
      <c r="WZH553"/>
      <c r="WZI553"/>
      <c r="WZJ553"/>
      <c r="WZK553"/>
      <c r="WZL553"/>
      <c r="WZM553"/>
      <c r="WZN553"/>
      <c r="WZO553"/>
      <c r="WZP553"/>
      <c r="WZQ553"/>
      <c r="WZR553"/>
      <c r="WZS553"/>
      <c r="WZT553"/>
      <c r="WZU553"/>
      <c r="WZV553"/>
      <c r="WZW553"/>
      <c r="WZX553"/>
      <c r="WZY553"/>
      <c r="WZZ553"/>
      <c r="XAA553"/>
      <c r="XAB553"/>
      <c r="XAC553"/>
      <c r="XAD553"/>
      <c r="XAE553"/>
      <c r="XAF553"/>
      <c r="XAG553"/>
      <c r="XAH553"/>
      <c r="XAI553"/>
      <c r="XAJ553"/>
      <c r="XAK553"/>
      <c r="XAL553"/>
      <c r="XAM553"/>
      <c r="XAN553"/>
      <c r="XAO553"/>
      <c r="XAP553"/>
      <c r="XAQ553"/>
      <c r="XAR553"/>
      <c r="XAS553"/>
      <c r="XAT553"/>
      <c r="XAU553"/>
      <c r="XAV553"/>
      <c r="XAW553"/>
      <c r="XAX553"/>
      <c r="XAY553"/>
      <c r="XAZ553"/>
      <c r="XBA553"/>
      <c r="XBB553"/>
      <c r="XBC553"/>
      <c r="XBD553"/>
      <c r="XBE553"/>
      <c r="XBF553"/>
      <c r="XBG553"/>
      <c r="XBH553"/>
      <c r="XBI553"/>
      <c r="XBJ553"/>
      <c r="XBK553"/>
      <c r="XBL553"/>
      <c r="XBM553"/>
      <c r="XBN553"/>
      <c r="XBO553"/>
      <c r="XBP553"/>
      <c r="XBQ553"/>
      <c r="XBR553"/>
      <c r="XBS553"/>
      <c r="XBT553"/>
      <c r="XBU553"/>
      <c r="XBV553"/>
      <c r="XBW553"/>
      <c r="XBX553"/>
      <c r="XBY553"/>
      <c r="XBZ553"/>
      <c r="XCA553"/>
      <c r="XCB553"/>
      <c r="XCC553"/>
      <c r="XCD553"/>
      <c r="XCE553"/>
      <c r="XCF553"/>
      <c r="XCG553"/>
      <c r="XCH553"/>
      <c r="XCI553"/>
      <c r="XCJ553"/>
      <c r="XCK553"/>
      <c r="XCL553"/>
      <c r="XCM553"/>
      <c r="XCN553"/>
      <c r="XCO553"/>
      <c r="XCP553"/>
      <c r="XCQ553"/>
      <c r="XCR553"/>
      <c r="XCS553"/>
      <c r="XCT553"/>
      <c r="XCU553"/>
      <c r="XCV553"/>
      <c r="XCW553"/>
      <c r="XCX553"/>
      <c r="XCY553"/>
      <c r="XCZ553"/>
      <c r="XDA553"/>
      <c r="XDB553"/>
      <c r="XDC553"/>
      <c r="XDD553"/>
      <c r="XDE553"/>
      <c r="XDF553"/>
      <c r="XDG553"/>
      <c r="XDH553"/>
      <c r="XDI553"/>
      <c r="XDJ553"/>
      <c r="XDK553"/>
      <c r="XDL553"/>
      <c r="XDM553"/>
      <c r="XDN553"/>
      <c r="XDO553"/>
      <c r="XDP553"/>
      <c r="XDQ553"/>
      <c r="XDR553"/>
      <c r="XDS553"/>
      <c r="XDT553"/>
      <c r="XDU553"/>
      <c r="XDV553"/>
      <c r="XDW553"/>
      <c r="XDX553"/>
      <c r="XDY553"/>
      <c r="XDZ553"/>
      <c r="XEA553"/>
      <c r="XEB553"/>
      <c r="XEC553"/>
      <c r="XED553"/>
      <c r="XEE553"/>
      <c r="XEF553"/>
      <c r="XEG553"/>
      <c r="XEH553"/>
      <c r="XEI553"/>
      <c r="XEJ553"/>
      <c r="XEK553"/>
      <c r="XEL553"/>
      <c r="XEM553"/>
      <c r="XEN553"/>
      <c r="XEO553"/>
      <c r="XEP553"/>
      <c r="XEQ553"/>
      <c r="XER553"/>
      <c r="XES553"/>
      <c r="XET553"/>
      <c r="XEU553"/>
      <c r="XEV553"/>
      <c r="XEW553"/>
      <c r="XEX553"/>
      <c r="XEY553"/>
      <c r="XEZ553"/>
    </row>
    <row r="554" spans="1:16380">
      <c r="A554" s="68" t="s">
        <v>1514</v>
      </c>
      <c r="B554" s="349" t="s">
        <v>2166</v>
      </c>
      <c r="C554" s="359">
        <v>152.4</v>
      </c>
      <c r="D554" s="359">
        <v>152.4</v>
      </c>
      <c r="E554" s="359">
        <v>76.2</v>
      </c>
      <c r="F554" s="359">
        <v>50.8</v>
      </c>
      <c r="G554" s="17">
        <f t="shared" si="63"/>
        <v>1.4748357599999999</v>
      </c>
      <c r="K554" s="59"/>
      <c r="L554" s="20"/>
      <c r="M554" s="20"/>
      <c r="N554" s="20"/>
      <c r="O554" s="20"/>
      <c r="P554" s="20"/>
      <c r="Q554" s="23"/>
      <c r="R554" s="22" t="s">
        <v>16</v>
      </c>
      <c r="S554" s="22" t="s">
        <v>16</v>
      </c>
      <c r="T554" s="20">
        <f t="shared" si="62"/>
        <v>929.61110148276509</v>
      </c>
      <c r="U554" s="22">
        <v>1</v>
      </c>
      <c r="V554"/>
      <c r="W554"/>
      <c r="X554" s="352"/>
      <c r="Y554"/>
      <c r="Z554"/>
      <c r="AA554"/>
      <c r="AB554"/>
      <c r="AC554"/>
      <c r="AD554"/>
      <c r="AE554"/>
      <c r="AF554"/>
      <c r="AG554"/>
      <c r="AH554"/>
      <c r="AI554"/>
      <c r="AJ554" s="352"/>
      <c r="AK554"/>
      <c r="AL554"/>
      <c r="AM554"/>
      <c r="AN554"/>
      <c r="AO554"/>
      <c r="AP554"/>
      <c r="AQ554"/>
      <c r="AR554"/>
      <c r="AS554"/>
      <c r="AT554"/>
      <c r="AU554"/>
      <c r="AV554"/>
      <c r="AW554"/>
      <c r="AX554"/>
      <c r="AY554"/>
      <c r="AZ554"/>
      <c r="BA554"/>
      <c r="BB554"/>
      <c r="BC554"/>
      <c r="BD554"/>
      <c r="BE554"/>
      <c r="BF554"/>
      <c r="BG554"/>
      <c r="BH554"/>
      <c r="BI554"/>
      <c r="BJ554"/>
      <c r="BK554"/>
      <c r="BL554"/>
      <c r="BM554"/>
      <c r="BN554"/>
      <c r="BO554"/>
      <c r="BP554"/>
      <c r="BQ554"/>
      <c r="BR554"/>
      <c r="BS554"/>
      <c r="BT554"/>
      <c r="BU554"/>
      <c r="BV554"/>
      <c r="BW554"/>
      <c r="BX554"/>
      <c r="BY554"/>
      <c r="BZ554"/>
      <c r="CA554"/>
      <c r="CB554"/>
      <c r="CC554"/>
      <c r="CD554"/>
      <c r="CE554"/>
      <c r="CF554"/>
      <c r="CG554"/>
      <c r="CH554"/>
      <c r="CI554"/>
      <c r="CJ554"/>
      <c r="CK554"/>
      <c r="CL554"/>
      <c r="CM554"/>
      <c r="CN554"/>
      <c r="CO554"/>
      <c r="CP554"/>
      <c r="CQ554"/>
      <c r="CR554"/>
      <c r="CS554"/>
      <c r="CT554"/>
      <c r="CU554"/>
      <c r="CV554"/>
      <c r="CW554"/>
      <c r="CX554"/>
      <c r="CY554"/>
      <c r="CZ554"/>
      <c r="DA554"/>
      <c r="DB554"/>
      <c r="DC554"/>
      <c r="DD554"/>
      <c r="DE554"/>
      <c r="DF554"/>
      <c r="DG554"/>
      <c r="DH554"/>
      <c r="DI554"/>
      <c r="DJ554"/>
      <c r="DK554"/>
      <c r="DL554"/>
      <c r="DM554"/>
      <c r="DN554"/>
      <c r="DO554"/>
      <c r="DP554"/>
      <c r="DQ554"/>
      <c r="DR554"/>
      <c r="DS554"/>
      <c r="DT554"/>
      <c r="DU554"/>
      <c r="DV554"/>
      <c r="DW554"/>
      <c r="DX554"/>
      <c r="DY554"/>
      <c r="DZ554"/>
      <c r="EA554"/>
      <c r="EB554"/>
      <c r="EC554"/>
      <c r="ED554"/>
      <c r="EE554"/>
      <c r="EF554"/>
      <c r="EG554"/>
      <c r="EH554"/>
      <c r="EI554"/>
      <c r="EJ554"/>
      <c r="EK554"/>
      <c r="EL554"/>
      <c r="EM554"/>
      <c r="EN554"/>
      <c r="EO554"/>
      <c r="EP554"/>
      <c r="EQ554"/>
      <c r="ER554"/>
      <c r="ES554"/>
      <c r="ET554"/>
      <c r="EU554"/>
      <c r="EV554"/>
      <c r="EW554"/>
      <c r="EX554"/>
      <c r="EY554"/>
      <c r="EZ554"/>
      <c r="FA554"/>
      <c r="FB554"/>
      <c r="FC554"/>
      <c r="FD554"/>
      <c r="FE554"/>
      <c r="FF554"/>
      <c r="FG554"/>
      <c r="FH554"/>
      <c r="FI554"/>
      <c r="FJ554"/>
      <c r="FK554"/>
      <c r="FL554"/>
      <c r="FM554"/>
      <c r="FN554"/>
      <c r="FO554"/>
      <c r="FP554"/>
      <c r="FQ554"/>
      <c r="FR554"/>
      <c r="FS554"/>
      <c r="FT554"/>
      <c r="FU554"/>
      <c r="FV554"/>
      <c r="FW554"/>
      <c r="FX554"/>
      <c r="FY554"/>
      <c r="FZ554"/>
      <c r="GA554"/>
      <c r="GB554"/>
      <c r="GC554"/>
      <c r="GD554"/>
      <c r="GE554"/>
      <c r="GF554"/>
      <c r="GG554"/>
      <c r="GH554"/>
      <c r="GI554"/>
      <c r="GJ554"/>
      <c r="GK554"/>
      <c r="GL554"/>
      <c r="GM554"/>
      <c r="GN554"/>
      <c r="GO554"/>
      <c r="GP554"/>
      <c r="GQ554"/>
      <c r="GR554"/>
      <c r="GS554"/>
      <c r="GT554"/>
      <c r="GU554"/>
      <c r="GV554"/>
      <c r="GW554"/>
      <c r="GX554"/>
      <c r="GY554"/>
      <c r="GZ554"/>
      <c r="HA554"/>
      <c r="HB554"/>
      <c r="HC554"/>
      <c r="HD554"/>
      <c r="HE554"/>
      <c r="HF554"/>
      <c r="HG554"/>
      <c r="HH554"/>
      <c r="HI554"/>
      <c r="HJ554"/>
      <c r="HK554"/>
      <c r="HL554"/>
      <c r="HM554"/>
      <c r="HN554"/>
      <c r="HO554"/>
      <c r="HP554"/>
      <c r="HQ554"/>
      <c r="HR554"/>
      <c r="HS554"/>
      <c r="HT554"/>
      <c r="HU554"/>
      <c r="HV554"/>
      <c r="HW554"/>
      <c r="HX554"/>
      <c r="HY554"/>
      <c r="HZ554"/>
      <c r="IA554"/>
      <c r="IB554"/>
      <c r="IC554"/>
      <c r="ID554"/>
      <c r="IE554"/>
      <c r="IF554"/>
      <c r="IG554"/>
      <c r="IH554"/>
      <c r="II554"/>
      <c r="IJ554"/>
      <c r="IK554"/>
      <c r="IL554"/>
      <c r="IM554"/>
      <c r="IN554"/>
      <c r="IO554"/>
      <c r="IP554"/>
      <c r="IQ554"/>
      <c r="IR554"/>
      <c r="IS554"/>
      <c r="IT554"/>
      <c r="IU554"/>
      <c r="IV554"/>
      <c r="IW554"/>
      <c r="IX554"/>
      <c r="IY554"/>
      <c r="IZ554"/>
      <c r="JA554"/>
      <c r="JB554"/>
      <c r="JC554"/>
      <c r="JD554"/>
      <c r="JE554"/>
      <c r="JF554"/>
      <c r="JG554"/>
      <c r="JH554"/>
      <c r="JI554"/>
      <c r="JJ554"/>
      <c r="JK554"/>
      <c r="JL554"/>
      <c r="JM554"/>
      <c r="JN554"/>
      <c r="JO554"/>
      <c r="JP554"/>
      <c r="JQ554"/>
      <c r="JR554"/>
      <c r="JS554"/>
      <c r="JT554"/>
      <c r="JU554"/>
      <c r="JV554"/>
      <c r="JW554"/>
      <c r="JX554"/>
      <c r="JY554"/>
      <c r="JZ554"/>
      <c r="KA554"/>
      <c r="KB554"/>
      <c r="KC554"/>
      <c r="KD554"/>
      <c r="KE554"/>
      <c r="KF554"/>
      <c r="KG554"/>
      <c r="KH554"/>
      <c r="KI554"/>
      <c r="KJ554"/>
      <c r="KK554"/>
      <c r="KL554"/>
      <c r="KM554"/>
      <c r="KN554"/>
      <c r="KO554"/>
      <c r="KP554"/>
      <c r="KQ554"/>
      <c r="KR554"/>
      <c r="KS554"/>
      <c r="KT554"/>
      <c r="KU554"/>
      <c r="KV554"/>
      <c r="KW554"/>
      <c r="KX554"/>
      <c r="KY554"/>
      <c r="KZ554"/>
      <c r="LA554"/>
      <c r="LB554"/>
      <c r="LC554"/>
      <c r="LD554"/>
      <c r="LE554"/>
      <c r="LF554"/>
      <c r="LG554"/>
      <c r="LH554"/>
      <c r="LI554"/>
      <c r="LJ554"/>
      <c r="LK554"/>
      <c r="LL554"/>
      <c r="LM554"/>
      <c r="LN554"/>
      <c r="LO554"/>
      <c r="LP554"/>
      <c r="LQ554"/>
      <c r="LR554"/>
      <c r="LS554"/>
      <c r="LT554"/>
      <c r="LU554"/>
      <c r="LV554"/>
      <c r="LW554"/>
      <c r="LX554"/>
      <c r="LY554"/>
      <c r="LZ554"/>
      <c r="MA554"/>
      <c r="MB554"/>
      <c r="MC554"/>
      <c r="MD554"/>
      <c r="ME554"/>
      <c r="MF554"/>
      <c r="MG554"/>
      <c r="MH554"/>
      <c r="MI554"/>
      <c r="MJ554"/>
      <c r="MK554"/>
      <c r="ML554"/>
      <c r="MM554"/>
      <c r="MN554"/>
      <c r="MO554"/>
      <c r="MP554"/>
      <c r="MQ554"/>
      <c r="MR554"/>
      <c r="MS554"/>
      <c r="MT554"/>
      <c r="MU554"/>
      <c r="MV554"/>
      <c r="MW554"/>
      <c r="MX554"/>
      <c r="MY554"/>
      <c r="MZ554"/>
      <c r="NA554"/>
      <c r="NB554"/>
      <c r="NC554"/>
      <c r="ND554"/>
      <c r="NE554"/>
      <c r="NF554"/>
      <c r="NG554"/>
      <c r="NH554"/>
      <c r="NI554"/>
      <c r="NJ554"/>
      <c r="NK554"/>
      <c r="NL554"/>
      <c r="NM554"/>
      <c r="NN554"/>
      <c r="NO554"/>
      <c r="NP554"/>
      <c r="NQ554"/>
      <c r="NR554"/>
      <c r="NS554"/>
      <c r="NT554"/>
      <c r="NU554"/>
      <c r="NV554"/>
      <c r="NW554"/>
      <c r="NX554"/>
      <c r="NY554"/>
      <c r="NZ554"/>
      <c r="OA554"/>
      <c r="OB554"/>
      <c r="OC554"/>
      <c r="OD554"/>
      <c r="OE554"/>
      <c r="OF554"/>
      <c r="OG554"/>
      <c r="OH554"/>
      <c r="OI554"/>
      <c r="OJ554"/>
      <c r="OK554"/>
      <c r="OL554"/>
      <c r="OM554"/>
      <c r="ON554"/>
      <c r="OO554"/>
      <c r="OP554"/>
      <c r="OQ554"/>
      <c r="OR554"/>
      <c r="OS554"/>
      <c r="OT554"/>
      <c r="OU554"/>
      <c r="OV554"/>
      <c r="OW554"/>
      <c r="OX554"/>
      <c r="OY554"/>
      <c r="OZ554"/>
      <c r="PA554"/>
      <c r="PB554"/>
      <c r="PC554"/>
      <c r="PD554"/>
      <c r="PE554"/>
      <c r="PF554"/>
      <c r="PG554"/>
      <c r="PH554"/>
      <c r="PI554"/>
      <c r="PJ554"/>
      <c r="PK554"/>
      <c r="PL554"/>
      <c r="PM554"/>
      <c r="PN554"/>
      <c r="PO554"/>
      <c r="PP554"/>
      <c r="PQ554"/>
      <c r="PR554"/>
      <c r="PS554"/>
      <c r="PT554"/>
      <c r="PU554"/>
      <c r="PV554"/>
      <c r="PW554"/>
      <c r="PX554"/>
      <c r="PY554"/>
      <c r="PZ554"/>
      <c r="QA554"/>
      <c r="QB554"/>
      <c r="QC554"/>
      <c r="QD554"/>
      <c r="QE554"/>
      <c r="QF554"/>
      <c r="QG554"/>
      <c r="QH554"/>
      <c r="QI554"/>
      <c r="QJ554"/>
      <c r="QK554"/>
      <c r="QL554"/>
      <c r="QM554"/>
      <c r="QN554"/>
      <c r="QO554"/>
      <c r="QP554"/>
      <c r="QQ554"/>
      <c r="QR554"/>
      <c r="QS554"/>
      <c r="QT554"/>
      <c r="QU554"/>
      <c r="QV554"/>
      <c r="QW554"/>
      <c r="QX554"/>
      <c r="QY554"/>
      <c r="QZ554"/>
      <c r="RA554"/>
      <c r="RB554"/>
      <c r="RC554"/>
      <c r="RD554"/>
      <c r="RE554"/>
      <c r="RF554"/>
      <c r="RG554"/>
      <c r="RH554"/>
      <c r="RI554"/>
      <c r="RJ554"/>
      <c r="RK554"/>
      <c r="RL554"/>
      <c r="RM554"/>
      <c r="RN554"/>
      <c r="RO554"/>
      <c r="RP554"/>
      <c r="RQ554"/>
      <c r="RR554"/>
      <c r="RS554"/>
      <c r="RT554"/>
      <c r="RU554"/>
      <c r="RV554"/>
      <c r="RW554"/>
      <c r="RX554"/>
      <c r="RY554"/>
      <c r="RZ554"/>
      <c r="SA554"/>
      <c r="SB554"/>
      <c r="SC554"/>
      <c r="SD554"/>
      <c r="SE554"/>
      <c r="SF554"/>
      <c r="SG554"/>
      <c r="SH554"/>
      <c r="SI554"/>
      <c r="SJ554"/>
      <c r="SK554"/>
      <c r="SL554"/>
      <c r="SM554"/>
      <c r="SN554"/>
      <c r="SO554"/>
      <c r="SP554"/>
      <c r="SQ554"/>
      <c r="SR554"/>
      <c r="SS554"/>
      <c r="ST554"/>
      <c r="SU554"/>
      <c r="SV554"/>
      <c r="SW554"/>
      <c r="SX554"/>
      <c r="SY554"/>
      <c r="SZ554"/>
      <c r="TA554"/>
      <c r="TB554"/>
      <c r="TC554"/>
      <c r="TD554"/>
      <c r="TE554"/>
      <c r="TF554"/>
      <c r="TG554"/>
      <c r="TH554"/>
      <c r="TI554"/>
      <c r="TJ554"/>
      <c r="TK554"/>
      <c r="TL554"/>
      <c r="TM554"/>
      <c r="TN554"/>
      <c r="TO554"/>
      <c r="TP554"/>
      <c r="TQ554"/>
      <c r="TR554"/>
      <c r="TS554"/>
      <c r="TT554"/>
      <c r="TU554"/>
      <c r="TV554"/>
      <c r="TW554"/>
      <c r="TX554"/>
      <c r="TY554"/>
      <c r="TZ554"/>
      <c r="UA554"/>
      <c r="UB554"/>
      <c r="UC554"/>
      <c r="UD554"/>
      <c r="UE554"/>
      <c r="UF554"/>
      <c r="UG554"/>
      <c r="UH554"/>
      <c r="UI554"/>
      <c r="UJ554"/>
      <c r="UK554"/>
      <c r="UL554"/>
      <c r="UM554"/>
      <c r="UN554"/>
      <c r="UO554"/>
      <c r="UP554"/>
      <c r="UQ554"/>
      <c r="UR554"/>
      <c r="US554"/>
      <c r="UT554"/>
      <c r="UU554"/>
      <c r="UV554"/>
      <c r="UW554"/>
      <c r="UX554"/>
      <c r="UY554"/>
      <c r="UZ554"/>
      <c r="VA554"/>
      <c r="VB554"/>
      <c r="VC554"/>
      <c r="VD554"/>
      <c r="VE554"/>
      <c r="VF554"/>
      <c r="VG554"/>
      <c r="VH554"/>
      <c r="VI554"/>
      <c r="VJ554"/>
      <c r="VK554"/>
      <c r="VL554"/>
      <c r="VM554"/>
      <c r="VN554"/>
      <c r="VO554"/>
      <c r="VP554"/>
      <c r="VQ554"/>
      <c r="VR554"/>
      <c r="VS554"/>
      <c r="VT554"/>
      <c r="VU554"/>
      <c r="VV554"/>
      <c r="VW554"/>
      <c r="VX554"/>
      <c r="VY554"/>
      <c r="VZ554"/>
      <c r="WA554"/>
      <c r="WB554"/>
      <c r="WC554"/>
      <c r="WD554"/>
      <c r="WE554"/>
      <c r="WF554"/>
      <c r="WG554"/>
      <c r="WH554"/>
      <c r="WI554"/>
      <c r="WJ554"/>
      <c r="WK554"/>
      <c r="WL554"/>
      <c r="WM554"/>
      <c r="WN554"/>
      <c r="WO554"/>
      <c r="WP554"/>
      <c r="WQ554"/>
      <c r="WR554"/>
      <c r="WS554"/>
      <c r="WT554"/>
      <c r="WU554"/>
      <c r="WV554"/>
      <c r="WW554"/>
      <c r="WX554"/>
      <c r="WY554"/>
      <c r="WZ554"/>
      <c r="XA554"/>
      <c r="XB554"/>
      <c r="XC554"/>
      <c r="XD554"/>
      <c r="XE554"/>
      <c r="XF554"/>
      <c r="XG554"/>
      <c r="XH554"/>
      <c r="XI554"/>
      <c r="XJ554"/>
      <c r="XK554"/>
      <c r="XL554"/>
      <c r="XM554"/>
      <c r="XN554"/>
      <c r="XO554"/>
      <c r="XP554"/>
      <c r="XQ554"/>
      <c r="XR554"/>
      <c r="XS554"/>
      <c r="XT554"/>
      <c r="XU554"/>
      <c r="XV554"/>
      <c r="XW554"/>
      <c r="XX554"/>
      <c r="XY554"/>
      <c r="XZ554"/>
      <c r="YA554"/>
      <c r="YB554"/>
      <c r="YC554"/>
      <c r="YD554"/>
      <c r="YE554"/>
      <c r="YF554"/>
      <c r="YG554"/>
      <c r="YH554"/>
      <c r="YI554"/>
      <c r="YJ554"/>
      <c r="YK554"/>
      <c r="YL554"/>
      <c r="YM554"/>
      <c r="YN554"/>
      <c r="YO554"/>
      <c r="YP554"/>
      <c r="YQ554"/>
      <c r="YR554"/>
      <c r="YS554"/>
      <c r="YT554"/>
      <c r="YU554"/>
      <c r="YV554"/>
      <c r="YW554"/>
      <c r="YX554"/>
      <c r="YY554"/>
      <c r="YZ554"/>
      <c r="ZA554"/>
      <c r="ZB554"/>
      <c r="ZC554"/>
      <c r="ZD554"/>
      <c r="ZE554"/>
      <c r="ZF554"/>
      <c r="ZG554"/>
      <c r="ZH554"/>
      <c r="ZI554"/>
      <c r="ZJ554"/>
      <c r="ZK554"/>
      <c r="ZL554"/>
      <c r="ZM554"/>
      <c r="ZN554"/>
      <c r="ZO554"/>
      <c r="ZP554"/>
      <c r="ZQ554"/>
      <c r="ZR554"/>
      <c r="ZS554"/>
      <c r="ZT554"/>
      <c r="ZU554"/>
      <c r="ZV554"/>
      <c r="ZW554"/>
      <c r="ZX554"/>
      <c r="ZY554"/>
      <c r="ZZ554"/>
      <c r="AAA554"/>
      <c r="AAB554"/>
      <c r="AAC554"/>
      <c r="AAD554"/>
      <c r="AAE554"/>
      <c r="AAF554"/>
      <c r="AAG554"/>
      <c r="AAH554"/>
      <c r="AAI554"/>
      <c r="AAJ554"/>
      <c r="AAK554"/>
      <c r="AAL554"/>
      <c r="AAM554"/>
      <c r="AAN554"/>
      <c r="AAO554"/>
      <c r="AAP554"/>
      <c r="AAQ554"/>
      <c r="AAR554"/>
      <c r="AAS554"/>
      <c r="AAT554"/>
      <c r="AAU554"/>
      <c r="AAV554"/>
      <c r="AAW554"/>
      <c r="AAX554"/>
      <c r="AAY554"/>
      <c r="AAZ554"/>
      <c r="ABA554"/>
      <c r="ABB554"/>
      <c r="ABC554"/>
      <c r="ABD554"/>
      <c r="ABE554"/>
      <c r="ABF554"/>
      <c r="ABG554"/>
      <c r="ABH554"/>
      <c r="ABI554"/>
      <c r="ABJ554"/>
      <c r="ABK554"/>
      <c r="ABL554"/>
      <c r="ABM554"/>
      <c r="ABN554"/>
      <c r="ABO554"/>
      <c r="ABP554"/>
      <c r="ABQ554"/>
      <c r="ABR554"/>
      <c r="ABS554"/>
      <c r="ABT554"/>
      <c r="ABU554"/>
      <c r="ABV554"/>
      <c r="ABW554"/>
      <c r="ABX554"/>
      <c r="ABY554"/>
      <c r="ABZ554"/>
      <c r="ACA554"/>
      <c r="ACB554"/>
      <c r="ACC554"/>
      <c r="ACD554"/>
      <c r="ACE554"/>
      <c r="ACF554"/>
      <c r="ACG554"/>
      <c r="ACH554"/>
      <c r="ACI554"/>
      <c r="ACJ554"/>
      <c r="ACK554"/>
      <c r="ACL554"/>
      <c r="ACM554"/>
      <c r="ACN554"/>
      <c r="ACO554"/>
      <c r="ACP554"/>
      <c r="ACQ554"/>
      <c r="ACR554"/>
      <c r="ACS554"/>
      <c r="ACT554"/>
      <c r="ACU554"/>
      <c r="ACV554"/>
      <c r="ACW554"/>
      <c r="ACX554"/>
      <c r="ACY554"/>
      <c r="ACZ554"/>
      <c r="ADA554"/>
      <c r="ADB554"/>
      <c r="ADC554"/>
      <c r="ADD554"/>
      <c r="ADE554"/>
      <c r="ADF554"/>
      <c r="ADG554"/>
      <c r="ADH554"/>
      <c r="ADI554"/>
      <c r="ADJ554"/>
      <c r="ADK554"/>
      <c r="ADL554"/>
      <c r="ADM554"/>
      <c r="ADN554"/>
      <c r="ADO554"/>
      <c r="ADP554"/>
      <c r="ADQ554"/>
      <c r="ADR554"/>
      <c r="ADS554"/>
      <c r="ADT554"/>
      <c r="ADU554"/>
      <c r="ADV554"/>
      <c r="ADW554"/>
      <c r="ADX554"/>
      <c r="ADY554"/>
      <c r="ADZ554"/>
      <c r="AEA554"/>
      <c r="AEB554"/>
      <c r="AEC554"/>
      <c r="AED554"/>
      <c r="AEE554"/>
      <c r="AEF554"/>
      <c r="AEG554"/>
      <c r="AEH554"/>
      <c r="AEI554"/>
      <c r="AEJ554"/>
      <c r="AEK554"/>
      <c r="AEL554"/>
      <c r="AEM554"/>
      <c r="AEN554"/>
      <c r="AEO554"/>
      <c r="AEP554"/>
      <c r="AEQ554"/>
      <c r="AER554"/>
      <c r="AES554"/>
      <c r="AET554"/>
      <c r="AEU554"/>
      <c r="AEV554"/>
      <c r="AEW554"/>
      <c r="AEX554"/>
      <c r="AEY554"/>
      <c r="AEZ554"/>
      <c r="AFA554"/>
      <c r="AFB554"/>
      <c r="AFC554"/>
      <c r="AFD554"/>
      <c r="AFE554"/>
      <c r="AFF554"/>
      <c r="AFG554"/>
      <c r="AFH554"/>
      <c r="AFI554"/>
      <c r="AFJ554"/>
      <c r="AFK554"/>
      <c r="AFL554"/>
      <c r="AFM554"/>
      <c r="AFN554"/>
      <c r="AFO554"/>
      <c r="AFP554"/>
      <c r="AFQ554"/>
      <c r="AFR554"/>
      <c r="AFS554"/>
      <c r="AFT554"/>
      <c r="AFU554"/>
      <c r="AFV554"/>
      <c r="AFW554"/>
      <c r="AFX554"/>
      <c r="AFY554"/>
      <c r="AFZ554"/>
      <c r="AGA554"/>
      <c r="AGB554"/>
      <c r="AGC554"/>
      <c r="AGD554"/>
      <c r="AGE554"/>
      <c r="AGF554"/>
      <c r="AGG554"/>
      <c r="AGH554"/>
      <c r="AGI554"/>
      <c r="AGJ554"/>
      <c r="AGK554"/>
      <c r="AGL554"/>
      <c r="AGM554"/>
      <c r="AGN554"/>
      <c r="AGO554"/>
      <c r="AGP554"/>
      <c r="AGQ554"/>
      <c r="AGR554"/>
      <c r="AGS554"/>
      <c r="AGT554"/>
      <c r="AGU554"/>
      <c r="AGV554"/>
      <c r="AGW554"/>
      <c r="AGX554"/>
      <c r="AGY554"/>
      <c r="AGZ554"/>
      <c r="AHA554"/>
      <c r="AHB554"/>
      <c r="AHC554"/>
      <c r="AHD554"/>
      <c r="AHE554"/>
      <c r="AHF554"/>
      <c r="AHG554"/>
      <c r="AHH554"/>
      <c r="AHI554"/>
      <c r="AHJ554"/>
      <c r="AHK554"/>
      <c r="AHL554"/>
      <c r="AHM554"/>
      <c r="AHN554"/>
      <c r="AHO554"/>
      <c r="AHP554"/>
      <c r="AHQ554"/>
      <c r="AHR554"/>
      <c r="AHS554"/>
      <c r="AHT554"/>
      <c r="AHU554"/>
      <c r="AHV554"/>
      <c r="AHW554"/>
      <c r="AHX554"/>
      <c r="AHY554"/>
      <c r="AHZ554"/>
      <c r="AIA554"/>
      <c r="AIB554"/>
      <c r="AIC554"/>
      <c r="AID554"/>
      <c r="AIE554"/>
      <c r="AIF554"/>
      <c r="AIG554"/>
      <c r="AIH554"/>
      <c r="AII554"/>
      <c r="AIJ554"/>
      <c r="AIK554"/>
      <c r="AIL554"/>
      <c r="AIM554"/>
      <c r="AIN554"/>
      <c r="AIO554"/>
      <c r="AIP554"/>
      <c r="AIQ554"/>
      <c r="AIR554"/>
      <c r="AIS554"/>
      <c r="AIT554"/>
      <c r="AIU554"/>
      <c r="AIV554"/>
      <c r="AIW554"/>
      <c r="AIX554"/>
      <c r="AIY554"/>
      <c r="AIZ554"/>
      <c r="AJA554"/>
      <c r="AJB554"/>
      <c r="AJC554"/>
      <c r="AJD554"/>
      <c r="AJE554"/>
      <c r="AJF554"/>
      <c r="AJG554"/>
      <c r="AJH554"/>
      <c r="AJI554"/>
      <c r="AJJ554"/>
      <c r="AJK554"/>
      <c r="AJL554"/>
      <c r="AJM554"/>
      <c r="AJN554"/>
      <c r="AJO554"/>
      <c r="AJP554"/>
      <c r="AJQ554"/>
      <c r="AJR554"/>
      <c r="AJS554"/>
      <c r="AJT554"/>
      <c r="AJU554"/>
      <c r="AJV554"/>
      <c r="AJW554"/>
      <c r="AJX554"/>
      <c r="AJY554"/>
      <c r="AJZ554"/>
      <c r="AKA554"/>
      <c r="AKB554"/>
      <c r="AKC554"/>
      <c r="AKD554"/>
      <c r="AKE554"/>
      <c r="AKF554"/>
      <c r="AKG554"/>
      <c r="AKH554"/>
      <c r="AKI554"/>
      <c r="AKJ554"/>
      <c r="AKK554"/>
      <c r="AKL554"/>
      <c r="AKM554"/>
      <c r="AKN554"/>
      <c r="AKO554"/>
      <c r="AKP554"/>
      <c r="AKQ554"/>
      <c r="AKR554"/>
      <c r="AKS554"/>
      <c r="AKT554"/>
      <c r="AKU554"/>
      <c r="AKV554"/>
      <c r="AKW554"/>
      <c r="AKX554"/>
      <c r="AKY554"/>
      <c r="AKZ554"/>
      <c r="ALA554"/>
      <c r="ALB554"/>
      <c r="ALC554"/>
      <c r="ALD554"/>
      <c r="ALE554"/>
      <c r="ALF554"/>
      <c r="ALG554"/>
      <c r="ALH554"/>
      <c r="ALI554"/>
      <c r="ALJ554"/>
      <c r="ALK554"/>
      <c r="ALL554"/>
      <c r="ALM554"/>
      <c r="ALN554"/>
      <c r="ALO554"/>
      <c r="ALP554"/>
      <c r="ALQ554"/>
      <c r="ALR554"/>
      <c r="ALS554"/>
      <c r="ALT554"/>
      <c r="ALU554"/>
      <c r="ALV554"/>
      <c r="ALW554"/>
      <c r="ALX554"/>
      <c r="ALY554"/>
      <c r="ALZ554"/>
      <c r="AMA554"/>
      <c r="AMB554"/>
      <c r="AMC554"/>
      <c r="AMD554"/>
      <c r="AME554"/>
      <c r="AMF554"/>
      <c r="AMG554"/>
      <c r="AMH554"/>
      <c r="AMI554"/>
      <c r="AMJ554"/>
      <c r="AMK554"/>
      <c r="AML554"/>
      <c r="AMM554"/>
      <c r="AMN554"/>
      <c r="AMO554"/>
      <c r="AMP554"/>
      <c r="AMQ554"/>
      <c r="AMR554"/>
      <c r="AMS554"/>
      <c r="AMT554"/>
      <c r="AMU554"/>
      <c r="AMV554"/>
      <c r="AMW554"/>
      <c r="AMX554"/>
      <c r="AMY554"/>
      <c r="AMZ554"/>
      <c r="ANA554"/>
      <c r="ANB554"/>
      <c r="ANC554"/>
      <c r="AND554"/>
      <c r="ANE554"/>
      <c r="ANF554"/>
      <c r="ANG554"/>
      <c r="ANH554"/>
      <c r="ANI554"/>
      <c r="ANJ554"/>
      <c r="ANK554"/>
      <c r="ANL554"/>
      <c r="ANM554"/>
      <c r="ANN554"/>
      <c r="ANO554"/>
      <c r="ANP554"/>
      <c r="ANQ554"/>
      <c r="ANR554"/>
      <c r="ANS554"/>
      <c r="ANT554"/>
      <c r="ANU554"/>
      <c r="ANV554"/>
      <c r="ANW554"/>
      <c r="ANX554"/>
      <c r="ANY554"/>
      <c r="ANZ554"/>
      <c r="AOA554"/>
      <c r="AOB554"/>
      <c r="AOC554"/>
      <c r="AOD554"/>
      <c r="AOE554"/>
      <c r="AOF554"/>
      <c r="AOG554"/>
      <c r="AOH554"/>
      <c r="AOI554"/>
      <c r="AOJ554"/>
      <c r="AOK554"/>
      <c r="AOL554"/>
      <c r="AOM554"/>
      <c r="AON554"/>
      <c r="AOO554"/>
      <c r="AOP554"/>
      <c r="AOQ554"/>
      <c r="AOR554"/>
      <c r="AOS554"/>
      <c r="AOT554"/>
      <c r="AOU554"/>
      <c r="AOV554"/>
      <c r="AOW554"/>
      <c r="AOX554"/>
      <c r="AOY554"/>
      <c r="AOZ554"/>
      <c r="APA554"/>
      <c r="APB554"/>
      <c r="APC554"/>
      <c r="APD554"/>
      <c r="APE554"/>
      <c r="APF554"/>
      <c r="APG554"/>
      <c r="APH554"/>
      <c r="API554"/>
      <c r="APJ554"/>
      <c r="APK554"/>
      <c r="APL554"/>
      <c r="APM554"/>
      <c r="APN554"/>
      <c r="APO554"/>
      <c r="APP554"/>
      <c r="APQ554"/>
      <c r="APR554"/>
      <c r="APS554"/>
      <c r="APT554"/>
      <c r="APU554"/>
      <c r="APV554"/>
      <c r="APW554"/>
      <c r="APX554"/>
      <c r="APY554"/>
      <c r="APZ554"/>
      <c r="AQA554"/>
      <c r="AQB554"/>
      <c r="AQC554"/>
      <c r="AQD554"/>
      <c r="AQE554"/>
      <c r="AQF554"/>
      <c r="AQG554"/>
      <c r="AQH554"/>
      <c r="AQI554"/>
      <c r="AQJ554"/>
      <c r="AQK554"/>
      <c r="AQL554"/>
      <c r="AQM554"/>
      <c r="AQN554"/>
      <c r="AQO554"/>
      <c r="AQP554"/>
      <c r="AQQ554"/>
      <c r="AQR554"/>
      <c r="AQS554"/>
      <c r="AQT554"/>
      <c r="AQU554"/>
      <c r="AQV554"/>
      <c r="AQW554"/>
      <c r="AQX554"/>
      <c r="AQY554"/>
      <c r="AQZ554"/>
      <c r="ARA554"/>
      <c r="ARB554"/>
      <c r="ARC554"/>
      <c r="ARD554"/>
      <c r="ARE554"/>
      <c r="ARF554"/>
      <c r="ARG554"/>
      <c r="ARH554"/>
      <c r="ARI554"/>
      <c r="ARJ554"/>
      <c r="ARK554"/>
      <c r="ARL554"/>
      <c r="ARM554"/>
      <c r="ARN554"/>
      <c r="ARO554"/>
      <c r="ARP554"/>
      <c r="ARQ554"/>
      <c r="ARR554"/>
      <c r="ARS554"/>
      <c r="ART554"/>
      <c r="ARU554"/>
      <c r="ARV554"/>
      <c r="ARW554"/>
      <c r="ARX554"/>
      <c r="ARY554"/>
      <c r="ARZ554"/>
      <c r="ASA554"/>
      <c r="ASB554"/>
      <c r="ASC554"/>
      <c r="ASD554"/>
      <c r="ASE554"/>
      <c r="ASF554"/>
      <c r="ASG554"/>
      <c r="ASH554"/>
      <c r="ASI554"/>
      <c r="ASJ554"/>
      <c r="ASK554"/>
      <c r="ASL554"/>
      <c r="ASM554"/>
      <c r="ASN554"/>
      <c r="ASO554"/>
      <c r="ASP554"/>
      <c r="ASQ554"/>
      <c r="ASR554"/>
      <c r="ASS554"/>
      <c r="AST554"/>
      <c r="ASU554"/>
      <c r="ASV554"/>
      <c r="ASW554"/>
      <c r="ASX554"/>
      <c r="ASY554"/>
      <c r="ASZ554"/>
      <c r="ATA554"/>
      <c r="ATB554"/>
      <c r="ATC554"/>
      <c r="ATD554"/>
      <c r="ATE554"/>
      <c r="ATF554"/>
      <c r="ATG554"/>
      <c r="ATH554"/>
      <c r="ATI554"/>
      <c r="ATJ554"/>
      <c r="ATK554"/>
      <c r="ATL554"/>
      <c r="ATM554"/>
      <c r="ATN554"/>
      <c r="ATO554"/>
      <c r="ATP554"/>
      <c r="ATQ554"/>
      <c r="ATR554"/>
      <c r="ATS554"/>
      <c r="ATT554"/>
      <c r="ATU554"/>
      <c r="ATV554"/>
      <c r="ATW554"/>
      <c r="ATX554"/>
      <c r="ATY554"/>
      <c r="ATZ554"/>
      <c r="AUA554"/>
      <c r="AUB554"/>
      <c r="AUC554"/>
      <c r="AUD554"/>
      <c r="AUE554"/>
      <c r="AUF554"/>
      <c r="AUG554"/>
      <c r="AUH554"/>
      <c r="AUI554"/>
      <c r="AUJ554"/>
      <c r="AUK554"/>
      <c r="AUL554"/>
      <c r="AUM554"/>
      <c r="AUN554"/>
      <c r="AUO554"/>
      <c r="AUP554"/>
      <c r="AUQ554"/>
      <c r="AUR554"/>
      <c r="AUS554"/>
      <c r="AUT554"/>
      <c r="AUU554"/>
      <c r="AUV554"/>
      <c r="AUW554"/>
      <c r="AUX554"/>
      <c r="AUY554"/>
      <c r="AUZ554"/>
      <c r="AVA554"/>
      <c r="AVB554"/>
      <c r="AVC554"/>
      <c r="AVD554"/>
      <c r="AVE554"/>
      <c r="AVF554"/>
      <c r="AVG554"/>
      <c r="AVH554"/>
      <c r="AVI554"/>
      <c r="AVJ554"/>
      <c r="AVK554"/>
      <c r="AVL554"/>
      <c r="AVM554"/>
      <c r="AVN554"/>
      <c r="AVO554"/>
      <c r="AVP554"/>
      <c r="AVQ554"/>
      <c r="AVR554"/>
      <c r="AVS554"/>
      <c r="AVT554"/>
      <c r="AVU554"/>
      <c r="AVV554"/>
      <c r="AVW554"/>
      <c r="AVX554"/>
      <c r="AVY554"/>
      <c r="AVZ554"/>
      <c r="AWA554"/>
      <c r="AWB554"/>
      <c r="AWC554"/>
      <c r="AWD554"/>
      <c r="AWE554"/>
      <c r="AWF554"/>
      <c r="AWG554"/>
      <c r="AWH554"/>
      <c r="AWI554"/>
      <c r="AWJ554"/>
      <c r="AWK554"/>
      <c r="AWL554"/>
      <c r="AWM554"/>
      <c r="AWN554"/>
      <c r="AWO554"/>
      <c r="AWP554"/>
      <c r="AWQ554"/>
      <c r="AWR554"/>
      <c r="AWS554"/>
      <c r="AWT554"/>
      <c r="AWU554"/>
      <c r="AWV554"/>
      <c r="AWW554"/>
      <c r="AWX554"/>
      <c r="AWY554"/>
      <c r="AWZ554"/>
      <c r="AXA554"/>
      <c r="AXB554"/>
      <c r="AXC554"/>
      <c r="AXD554"/>
      <c r="AXE554"/>
      <c r="AXF554"/>
      <c r="AXG554"/>
      <c r="AXH554"/>
      <c r="AXI554"/>
      <c r="AXJ554"/>
      <c r="AXK554"/>
      <c r="AXL554"/>
      <c r="AXM554"/>
      <c r="AXN554"/>
      <c r="AXO554"/>
      <c r="AXP554"/>
      <c r="AXQ554"/>
      <c r="AXR554"/>
      <c r="AXS554"/>
      <c r="AXT554"/>
      <c r="AXU554"/>
      <c r="AXV554"/>
      <c r="AXW554"/>
      <c r="AXX554"/>
      <c r="AXY554"/>
      <c r="AXZ554"/>
      <c r="AYA554"/>
      <c r="AYB554"/>
      <c r="AYC554"/>
      <c r="AYD554"/>
      <c r="AYE554"/>
      <c r="AYF554"/>
      <c r="AYG554"/>
      <c r="AYH554"/>
      <c r="AYI554"/>
      <c r="AYJ554"/>
      <c r="AYK554"/>
      <c r="AYL554"/>
      <c r="AYM554"/>
      <c r="AYN554"/>
      <c r="AYO554"/>
      <c r="AYP554"/>
      <c r="AYQ554"/>
      <c r="AYR554"/>
      <c r="AYS554"/>
      <c r="AYT554"/>
      <c r="AYU554"/>
      <c r="AYV554"/>
      <c r="AYW554"/>
      <c r="AYX554"/>
      <c r="AYY554"/>
      <c r="AYZ554"/>
      <c r="AZA554"/>
      <c r="AZB554"/>
      <c r="AZC554"/>
      <c r="AZD554"/>
      <c r="AZE554"/>
      <c r="AZF554"/>
      <c r="AZG554"/>
      <c r="AZH554"/>
      <c r="AZI554"/>
      <c r="AZJ554"/>
      <c r="AZK554"/>
      <c r="AZL554"/>
      <c r="AZM554"/>
      <c r="AZN554"/>
      <c r="AZO554"/>
      <c r="AZP554"/>
      <c r="AZQ554"/>
      <c r="AZR554"/>
      <c r="AZS554"/>
      <c r="AZT554"/>
      <c r="AZU554"/>
      <c r="AZV554"/>
      <c r="AZW554"/>
      <c r="AZX554"/>
      <c r="AZY554"/>
      <c r="AZZ554"/>
      <c r="BAA554"/>
      <c r="BAB554"/>
      <c r="BAC554"/>
      <c r="BAD554"/>
      <c r="BAE554"/>
      <c r="BAF554"/>
      <c r="BAG554"/>
      <c r="BAH554"/>
      <c r="BAI554"/>
      <c r="BAJ554"/>
      <c r="BAK554"/>
      <c r="BAL554"/>
      <c r="BAM554"/>
      <c r="BAN554"/>
      <c r="BAO554"/>
      <c r="BAP554"/>
      <c r="BAQ554"/>
      <c r="BAR554"/>
      <c r="BAS554"/>
      <c r="BAT554"/>
      <c r="BAU554"/>
      <c r="BAV554"/>
      <c r="BAW554"/>
      <c r="BAX554"/>
      <c r="BAY554"/>
      <c r="BAZ554"/>
      <c r="BBA554"/>
      <c r="BBB554"/>
      <c r="BBC554"/>
      <c r="BBD554"/>
      <c r="BBE554"/>
      <c r="BBF554"/>
      <c r="BBG554"/>
      <c r="BBH554"/>
      <c r="BBI554"/>
      <c r="BBJ554"/>
      <c r="BBK554"/>
      <c r="BBL554"/>
      <c r="BBM554"/>
      <c r="BBN554"/>
      <c r="BBO554"/>
      <c r="BBP554"/>
      <c r="BBQ554"/>
      <c r="BBR554"/>
      <c r="BBS554"/>
      <c r="BBT554"/>
      <c r="BBU554"/>
      <c r="BBV554"/>
      <c r="BBW554"/>
      <c r="BBX554"/>
      <c r="BBY554"/>
      <c r="BBZ554"/>
      <c r="BCA554"/>
      <c r="BCB554"/>
      <c r="BCC554"/>
      <c r="BCD554"/>
      <c r="BCE554"/>
      <c r="BCF554"/>
      <c r="BCG554"/>
      <c r="BCH554"/>
      <c r="BCI554"/>
      <c r="BCJ554"/>
      <c r="BCK554"/>
      <c r="BCL554"/>
      <c r="BCM554"/>
      <c r="BCN554"/>
      <c r="BCO554"/>
      <c r="BCP554"/>
      <c r="BCQ554"/>
      <c r="BCR554"/>
      <c r="BCS554"/>
      <c r="BCT554"/>
      <c r="BCU554"/>
      <c r="BCV554"/>
      <c r="BCW554"/>
      <c r="BCX554"/>
      <c r="BCY554"/>
      <c r="BCZ554"/>
      <c r="BDA554"/>
      <c r="BDB554"/>
      <c r="BDC554"/>
      <c r="BDD554"/>
      <c r="BDE554"/>
      <c r="BDF554"/>
      <c r="BDG554"/>
      <c r="BDH554"/>
      <c r="BDI554"/>
      <c r="BDJ554"/>
      <c r="BDK554"/>
      <c r="BDL554"/>
      <c r="BDM554"/>
      <c r="BDN554"/>
      <c r="BDO554"/>
      <c r="BDP554"/>
      <c r="BDQ554"/>
      <c r="BDR554"/>
      <c r="BDS554"/>
      <c r="BDT554"/>
      <c r="BDU554"/>
      <c r="BDV554"/>
      <c r="BDW554"/>
      <c r="BDX554"/>
      <c r="BDY554"/>
      <c r="BDZ554"/>
      <c r="BEA554"/>
      <c r="BEB554"/>
      <c r="BEC554"/>
      <c r="BED554"/>
      <c r="BEE554"/>
      <c r="BEF554"/>
      <c r="BEG554"/>
      <c r="BEH554"/>
      <c r="BEI554"/>
      <c r="BEJ554"/>
      <c r="BEK554"/>
      <c r="BEL554"/>
      <c r="BEM554"/>
      <c r="BEN554"/>
      <c r="BEO554"/>
      <c r="BEP554"/>
      <c r="BEQ554"/>
      <c r="BER554"/>
      <c r="BES554"/>
      <c r="BET554"/>
      <c r="BEU554"/>
      <c r="BEV554"/>
      <c r="BEW554"/>
      <c r="BEX554"/>
      <c r="BEY554"/>
      <c r="BEZ554"/>
      <c r="BFA554"/>
      <c r="BFB554"/>
      <c r="BFC554"/>
      <c r="BFD554"/>
      <c r="BFE554"/>
      <c r="BFF554"/>
      <c r="BFG554"/>
      <c r="BFH554"/>
      <c r="BFI554"/>
      <c r="BFJ554"/>
      <c r="BFK554"/>
      <c r="BFL554"/>
      <c r="BFM554"/>
      <c r="BFN554"/>
      <c r="BFO554"/>
      <c r="BFP554"/>
      <c r="BFQ554"/>
      <c r="BFR554"/>
      <c r="BFS554"/>
      <c r="BFT554"/>
      <c r="BFU554"/>
      <c r="BFV554"/>
      <c r="BFW554"/>
      <c r="BFX554"/>
      <c r="BFY554"/>
      <c r="BFZ554"/>
      <c r="BGA554"/>
      <c r="BGB554"/>
      <c r="BGC554"/>
      <c r="BGD554"/>
      <c r="BGE554"/>
      <c r="BGF554"/>
      <c r="BGG554"/>
      <c r="BGH554"/>
      <c r="BGI554"/>
      <c r="BGJ554"/>
      <c r="BGK554"/>
      <c r="BGL554"/>
      <c r="BGM554"/>
      <c r="BGN554"/>
      <c r="BGO554"/>
      <c r="BGP554"/>
      <c r="BGQ554"/>
      <c r="BGR554"/>
      <c r="BGS554"/>
      <c r="BGT554"/>
      <c r="BGU554"/>
      <c r="BGV554"/>
      <c r="BGW554"/>
      <c r="BGX554"/>
      <c r="BGY554"/>
      <c r="BGZ554"/>
      <c r="BHA554"/>
      <c r="BHB554"/>
      <c r="BHC554"/>
      <c r="BHD554"/>
      <c r="BHE554"/>
      <c r="BHF554"/>
      <c r="BHG554"/>
      <c r="BHH554"/>
      <c r="BHI554"/>
      <c r="BHJ554"/>
      <c r="BHK554"/>
      <c r="BHL554"/>
      <c r="BHM554"/>
      <c r="BHN554"/>
      <c r="BHO554"/>
      <c r="BHP554"/>
      <c r="BHQ554"/>
      <c r="BHR554"/>
      <c r="BHS554"/>
      <c r="BHT554"/>
      <c r="BHU554"/>
      <c r="BHV554"/>
      <c r="BHW554"/>
      <c r="BHX554"/>
      <c r="BHY554"/>
      <c r="BHZ554"/>
      <c r="BIA554"/>
      <c r="BIB554"/>
      <c r="BIC554"/>
      <c r="BID554"/>
      <c r="BIE554"/>
      <c r="BIF554"/>
      <c r="BIG554"/>
      <c r="BIH554"/>
      <c r="BII554"/>
      <c r="BIJ554"/>
      <c r="BIK554"/>
      <c r="BIL554"/>
      <c r="BIM554"/>
      <c r="BIN554"/>
      <c r="BIO554"/>
      <c r="BIP554"/>
      <c r="BIQ554"/>
      <c r="BIR554"/>
      <c r="BIS554"/>
      <c r="BIT554"/>
      <c r="BIU554"/>
      <c r="BIV554"/>
      <c r="BIW554"/>
      <c r="BIX554"/>
      <c r="BIY554"/>
      <c r="BIZ554"/>
      <c r="BJA554"/>
      <c r="BJB554"/>
      <c r="BJC554"/>
      <c r="BJD554"/>
      <c r="BJE554"/>
      <c r="BJF554"/>
      <c r="BJG554"/>
      <c r="BJH554"/>
      <c r="BJI554"/>
      <c r="BJJ554"/>
      <c r="BJK554"/>
      <c r="BJL554"/>
      <c r="BJM554"/>
      <c r="BJN554"/>
      <c r="BJO554"/>
      <c r="BJP554"/>
      <c r="BJQ554"/>
      <c r="BJR554"/>
      <c r="BJS554"/>
      <c r="BJT554"/>
      <c r="BJU554"/>
      <c r="BJV554"/>
      <c r="BJW554"/>
      <c r="BJX554"/>
      <c r="BJY554"/>
      <c r="BJZ554"/>
      <c r="BKA554"/>
      <c r="BKB554"/>
      <c r="BKC554"/>
      <c r="BKD554"/>
      <c r="BKE554"/>
      <c r="BKF554"/>
      <c r="BKG554"/>
      <c r="BKH554"/>
      <c r="BKI554"/>
      <c r="BKJ554"/>
      <c r="BKK554"/>
      <c r="BKL554"/>
      <c r="BKM554"/>
      <c r="BKN554"/>
      <c r="BKO554"/>
      <c r="BKP554"/>
      <c r="BKQ554"/>
      <c r="BKR554"/>
      <c r="BKS554"/>
      <c r="BKT554"/>
      <c r="BKU554"/>
      <c r="BKV554"/>
      <c r="BKW554"/>
      <c r="BKX554"/>
      <c r="BKY554"/>
      <c r="BKZ554"/>
      <c r="BLA554"/>
      <c r="BLB554"/>
      <c r="BLC554"/>
      <c r="BLD554"/>
      <c r="BLE554"/>
      <c r="BLF554"/>
      <c r="BLG554"/>
      <c r="BLH554"/>
      <c r="BLI554"/>
      <c r="BLJ554"/>
      <c r="BLK554"/>
      <c r="BLL554"/>
      <c r="BLM554"/>
      <c r="BLN554"/>
      <c r="BLO554"/>
      <c r="BLP554"/>
      <c r="BLQ554"/>
      <c r="BLR554"/>
      <c r="BLS554"/>
      <c r="BLT554"/>
      <c r="BLU554"/>
      <c r="BLV554"/>
      <c r="BLW554"/>
      <c r="BLX554"/>
      <c r="BLY554"/>
      <c r="BLZ554"/>
      <c r="BMA554"/>
      <c r="BMB554"/>
      <c r="BMC554"/>
      <c r="BMD554"/>
      <c r="BME554"/>
      <c r="BMF554"/>
      <c r="BMG554"/>
      <c r="BMH554"/>
      <c r="BMI554"/>
      <c r="BMJ554"/>
      <c r="BMK554"/>
      <c r="BML554"/>
      <c r="BMM554"/>
      <c r="BMN554"/>
      <c r="BMO554"/>
      <c r="BMP554"/>
      <c r="BMQ554"/>
      <c r="BMR554"/>
      <c r="BMS554"/>
      <c r="BMT554"/>
      <c r="BMU554"/>
      <c r="BMV554"/>
      <c r="BMW554"/>
      <c r="BMX554"/>
      <c r="BMY554"/>
      <c r="BMZ554"/>
      <c r="BNA554"/>
      <c r="BNB554"/>
      <c r="BNC554"/>
      <c r="BND554"/>
      <c r="BNE554"/>
      <c r="BNF554"/>
      <c r="BNG554"/>
      <c r="BNH554"/>
      <c r="BNI554"/>
      <c r="BNJ554"/>
      <c r="BNK554"/>
      <c r="BNL554"/>
      <c r="BNM554"/>
      <c r="BNN554"/>
      <c r="BNO554"/>
      <c r="BNP554"/>
      <c r="BNQ554"/>
      <c r="BNR554"/>
      <c r="BNS554"/>
      <c r="BNT554"/>
      <c r="BNU554"/>
      <c r="BNV554"/>
      <c r="BNW554"/>
      <c r="BNX554"/>
      <c r="BNY554"/>
      <c r="BNZ554"/>
      <c r="BOA554"/>
      <c r="BOB554"/>
      <c r="BOC554"/>
      <c r="BOD554"/>
      <c r="BOE554"/>
      <c r="BOF554"/>
      <c r="BOG554"/>
      <c r="BOH554"/>
      <c r="BOI554"/>
      <c r="BOJ554"/>
      <c r="BOK554"/>
      <c r="BOL554"/>
      <c r="BOM554"/>
      <c r="BON554"/>
      <c r="BOO554"/>
      <c r="BOP554"/>
      <c r="BOQ554"/>
      <c r="BOR554"/>
      <c r="BOS554"/>
      <c r="BOT554"/>
      <c r="BOU554"/>
      <c r="BOV554"/>
      <c r="BOW554"/>
      <c r="BOX554"/>
      <c r="BOY554"/>
      <c r="BOZ554"/>
      <c r="BPA554"/>
      <c r="BPB554"/>
      <c r="BPC554"/>
      <c r="BPD554"/>
      <c r="BPE554"/>
      <c r="BPF554"/>
      <c r="BPG554"/>
      <c r="BPH554"/>
      <c r="BPI554"/>
      <c r="BPJ554"/>
      <c r="BPK554"/>
      <c r="BPL554"/>
      <c r="BPM554"/>
      <c r="BPN554"/>
      <c r="BPO554"/>
      <c r="BPP554"/>
      <c r="BPQ554"/>
      <c r="BPR554"/>
      <c r="BPS554"/>
      <c r="BPT554"/>
      <c r="BPU554"/>
      <c r="BPV554"/>
      <c r="BPW554"/>
      <c r="BPX554"/>
      <c r="BPY554"/>
      <c r="BPZ554"/>
      <c r="BQA554"/>
      <c r="BQB554"/>
      <c r="BQC554"/>
      <c r="BQD554"/>
      <c r="BQE554"/>
      <c r="BQF554"/>
      <c r="BQG554"/>
      <c r="BQH554"/>
      <c r="BQI554"/>
      <c r="BQJ554"/>
      <c r="BQK554"/>
      <c r="BQL554"/>
      <c r="BQM554"/>
      <c r="BQN554"/>
      <c r="BQO554"/>
      <c r="BQP554"/>
      <c r="BQQ554"/>
      <c r="BQR554"/>
      <c r="BQS554"/>
      <c r="BQT554"/>
      <c r="BQU554"/>
      <c r="BQV554"/>
      <c r="BQW554"/>
      <c r="BQX554"/>
      <c r="BQY554"/>
      <c r="BQZ554"/>
      <c r="BRA554"/>
      <c r="BRB554"/>
      <c r="BRC554"/>
      <c r="BRD554"/>
      <c r="BRE554"/>
      <c r="BRF554"/>
      <c r="BRG554"/>
      <c r="BRH554"/>
      <c r="BRI554"/>
      <c r="BRJ554"/>
      <c r="BRK554"/>
      <c r="BRL554"/>
      <c r="BRM554"/>
      <c r="BRN554"/>
      <c r="BRO554"/>
      <c r="BRP554"/>
      <c r="BRQ554"/>
      <c r="BRR554"/>
      <c r="BRS554"/>
      <c r="BRT554"/>
      <c r="BRU554"/>
      <c r="BRV554"/>
      <c r="BRW554"/>
      <c r="BRX554"/>
      <c r="BRY554"/>
      <c r="BRZ554"/>
      <c r="BSA554"/>
      <c r="BSB554"/>
      <c r="BSC554"/>
      <c r="BSD554"/>
      <c r="BSE554"/>
      <c r="BSF554"/>
      <c r="BSG554"/>
      <c r="BSH554"/>
      <c r="BSI554"/>
      <c r="BSJ554"/>
      <c r="BSK554"/>
      <c r="BSL554"/>
      <c r="BSM554"/>
      <c r="BSN554"/>
      <c r="BSO554"/>
      <c r="BSP554"/>
      <c r="BSQ554"/>
      <c r="BSR554"/>
      <c r="BSS554"/>
      <c r="BST554"/>
      <c r="BSU554"/>
      <c r="BSV554"/>
      <c r="BSW554"/>
      <c r="BSX554"/>
      <c r="BSY554"/>
      <c r="BSZ554"/>
      <c r="BTA554"/>
      <c r="BTB554"/>
      <c r="BTC554"/>
      <c r="BTD554"/>
      <c r="BTE554"/>
      <c r="BTF554"/>
      <c r="BTG554"/>
      <c r="BTH554"/>
      <c r="BTI554"/>
      <c r="BTJ554"/>
      <c r="BTK554"/>
      <c r="BTL554"/>
      <c r="BTM554"/>
      <c r="BTN554"/>
      <c r="BTO554"/>
      <c r="BTP554"/>
      <c r="BTQ554"/>
      <c r="BTR554"/>
      <c r="BTS554"/>
      <c r="BTT554"/>
      <c r="BTU554"/>
      <c r="BTV554"/>
      <c r="BTW554"/>
      <c r="BTX554"/>
      <c r="BTY554"/>
      <c r="BTZ554"/>
      <c r="BUA554"/>
      <c r="BUB554"/>
      <c r="BUC554"/>
      <c r="BUD554"/>
      <c r="BUE554"/>
      <c r="BUF554"/>
      <c r="BUG554"/>
      <c r="BUH554"/>
      <c r="BUI554"/>
      <c r="BUJ554"/>
      <c r="BUK554"/>
      <c r="BUL554"/>
      <c r="BUM554"/>
      <c r="BUN554"/>
      <c r="BUO554"/>
      <c r="BUP554"/>
      <c r="BUQ554"/>
      <c r="BUR554"/>
      <c r="BUS554"/>
      <c r="BUT554"/>
      <c r="BUU554"/>
      <c r="BUV554"/>
      <c r="BUW554"/>
      <c r="BUX554"/>
      <c r="BUY554"/>
      <c r="BUZ554"/>
      <c r="BVA554"/>
      <c r="BVB554"/>
      <c r="BVC554"/>
      <c r="BVD554"/>
      <c r="BVE554"/>
      <c r="BVF554"/>
      <c r="BVG554"/>
      <c r="BVH554"/>
      <c r="BVI554"/>
      <c r="BVJ554"/>
      <c r="BVK554"/>
      <c r="BVL554"/>
      <c r="BVM554"/>
      <c r="BVN554"/>
      <c r="BVO554"/>
      <c r="BVP554"/>
      <c r="BVQ554"/>
      <c r="BVR554"/>
      <c r="BVS554"/>
      <c r="BVT554"/>
      <c r="BVU554"/>
      <c r="BVV554"/>
      <c r="BVW554"/>
      <c r="BVX554"/>
      <c r="BVY554"/>
      <c r="BVZ554"/>
      <c r="BWA554"/>
      <c r="BWB554"/>
      <c r="BWC554"/>
      <c r="BWD554"/>
      <c r="BWE554"/>
      <c r="BWF554"/>
      <c r="BWG554"/>
      <c r="BWH554"/>
      <c r="BWI554"/>
      <c r="BWJ554"/>
      <c r="BWK554"/>
      <c r="BWL554"/>
      <c r="BWM554"/>
      <c r="BWN554"/>
      <c r="BWO554"/>
      <c r="BWP554"/>
      <c r="BWQ554"/>
      <c r="BWR554"/>
      <c r="BWS554"/>
      <c r="BWT554"/>
      <c r="BWU554"/>
      <c r="BWV554"/>
      <c r="BWW554"/>
      <c r="BWX554"/>
      <c r="BWY554"/>
      <c r="BWZ554"/>
      <c r="BXA554"/>
      <c r="BXB554"/>
      <c r="BXC554"/>
      <c r="BXD554"/>
      <c r="BXE554"/>
      <c r="BXF554"/>
      <c r="BXG554"/>
      <c r="BXH554"/>
      <c r="BXI554"/>
      <c r="BXJ554"/>
      <c r="BXK554"/>
      <c r="BXL554"/>
      <c r="BXM554"/>
      <c r="BXN554"/>
      <c r="BXO554"/>
      <c r="BXP554"/>
      <c r="BXQ554"/>
      <c r="BXR554"/>
      <c r="BXS554"/>
      <c r="BXT554"/>
      <c r="BXU554"/>
      <c r="BXV554"/>
      <c r="BXW554"/>
      <c r="BXX554"/>
      <c r="BXY554"/>
      <c r="BXZ554"/>
      <c r="BYA554"/>
      <c r="BYB554"/>
      <c r="BYC554"/>
      <c r="BYD554"/>
      <c r="BYE554"/>
      <c r="BYF554"/>
      <c r="BYG554"/>
      <c r="BYH554"/>
      <c r="BYI554"/>
      <c r="BYJ554"/>
      <c r="BYK554"/>
      <c r="BYL554"/>
      <c r="BYM554"/>
      <c r="BYN554"/>
      <c r="BYO554"/>
      <c r="BYP554"/>
      <c r="BYQ554"/>
      <c r="BYR554"/>
      <c r="BYS554"/>
      <c r="BYT554"/>
      <c r="BYU554"/>
      <c r="BYV554"/>
      <c r="BYW554"/>
      <c r="BYX554"/>
      <c r="BYY554"/>
      <c r="BYZ554"/>
      <c r="BZA554"/>
      <c r="BZB554"/>
      <c r="BZC554"/>
      <c r="BZD554"/>
      <c r="BZE554"/>
      <c r="BZF554"/>
      <c r="BZG554"/>
      <c r="BZH554"/>
      <c r="BZI554"/>
      <c r="BZJ554"/>
      <c r="BZK554"/>
      <c r="BZL554"/>
      <c r="BZM554"/>
      <c r="BZN554"/>
      <c r="BZO554"/>
      <c r="BZP554"/>
      <c r="BZQ554"/>
      <c r="BZR554"/>
      <c r="BZS554"/>
      <c r="BZT554"/>
      <c r="BZU554"/>
      <c r="BZV554"/>
      <c r="BZW554"/>
      <c r="BZX554"/>
      <c r="BZY554"/>
      <c r="BZZ554"/>
      <c r="CAA554"/>
      <c r="CAB554"/>
      <c r="CAC554"/>
      <c r="CAD554"/>
      <c r="CAE554"/>
      <c r="CAF554"/>
      <c r="CAG554"/>
      <c r="CAH554"/>
      <c r="CAI554"/>
      <c r="CAJ554"/>
      <c r="CAK554"/>
      <c r="CAL554"/>
      <c r="CAM554"/>
      <c r="CAN554"/>
      <c r="CAO554"/>
      <c r="CAP554"/>
      <c r="CAQ554"/>
      <c r="CAR554"/>
      <c r="CAS554"/>
      <c r="CAT554"/>
      <c r="CAU554"/>
      <c r="CAV554"/>
      <c r="CAW554"/>
      <c r="CAX554"/>
      <c r="CAY554"/>
      <c r="CAZ554"/>
      <c r="CBA554"/>
      <c r="CBB554"/>
      <c r="CBC554"/>
      <c r="CBD554"/>
      <c r="CBE554"/>
      <c r="CBF554"/>
      <c r="CBG554"/>
      <c r="CBH554"/>
      <c r="CBI554"/>
      <c r="CBJ554"/>
      <c r="CBK554"/>
      <c r="CBL554"/>
      <c r="CBM554"/>
      <c r="CBN554"/>
      <c r="CBO554"/>
      <c r="CBP554"/>
      <c r="CBQ554"/>
      <c r="CBR554"/>
      <c r="CBS554"/>
      <c r="CBT554"/>
      <c r="CBU554"/>
      <c r="CBV554"/>
      <c r="CBW554"/>
      <c r="CBX554"/>
      <c r="CBY554"/>
      <c r="CBZ554"/>
      <c r="CCA554"/>
      <c r="CCB554"/>
      <c r="CCC554"/>
      <c r="CCD554"/>
      <c r="CCE554"/>
      <c r="CCF554"/>
      <c r="CCG554"/>
      <c r="CCH554"/>
      <c r="CCI554"/>
      <c r="CCJ554"/>
      <c r="CCK554"/>
      <c r="CCL554"/>
      <c r="CCM554"/>
      <c r="CCN554"/>
      <c r="CCO554"/>
      <c r="CCP554"/>
      <c r="CCQ554"/>
      <c r="CCR554"/>
      <c r="CCS554"/>
      <c r="CCT554"/>
      <c r="CCU554"/>
      <c r="CCV554"/>
      <c r="CCW554"/>
      <c r="CCX554"/>
      <c r="CCY554"/>
      <c r="CCZ554"/>
      <c r="CDA554"/>
      <c r="CDB554"/>
      <c r="CDC554"/>
      <c r="CDD554"/>
      <c r="CDE554"/>
      <c r="CDF554"/>
      <c r="CDG554"/>
      <c r="CDH554"/>
      <c r="CDI554"/>
      <c r="CDJ554"/>
      <c r="CDK554"/>
      <c r="CDL554"/>
      <c r="CDM554"/>
      <c r="CDN554"/>
      <c r="CDO554"/>
      <c r="CDP554"/>
      <c r="CDQ554"/>
      <c r="CDR554"/>
      <c r="CDS554"/>
      <c r="CDT554"/>
      <c r="CDU554"/>
      <c r="CDV554"/>
      <c r="CDW554"/>
      <c r="CDX554"/>
      <c r="CDY554"/>
      <c r="CDZ554"/>
      <c r="CEA554"/>
      <c r="CEB554"/>
      <c r="CEC554"/>
      <c r="CED554"/>
      <c r="CEE554"/>
      <c r="CEF554"/>
      <c r="CEG554"/>
      <c r="CEH554"/>
      <c r="CEI554"/>
      <c r="CEJ554"/>
      <c r="CEK554"/>
      <c r="CEL554"/>
      <c r="CEM554"/>
      <c r="CEN554"/>
      <c r="CEO554"/>
      <c r="CEP554"/>
      <c r="CEQ554"/>
      <c r="CER554"/>
      <c r="CES554"/>
      <c r="CET554"/>
      <c r="CEU554"/>
      <c r="CEV554"/>
      <c r="CEW554"/>
      <c r="CEX554"/>
      <c r="CEY554"/>
      <c r="CEZ554"/>
      <c r="CFA554"/>
      <c r="CFB554"/>
      <c r="CFC554"/>
      <c r="CFD554"/>
      <c r="CFE554"/>
      <c r="CFF554"/>
      <c r="CFG554"/>
      <c r="CFH554"/>
      <c r="CFI554"/>
      <c r="CFJ554"/>
      <c r="CFK554"/>
      <c r="CFL554"/>
      <c r="CFM554"/>
      <c r="CFN554"/>
      <c r="CFO554"/>
      <c r="CFP554"/>
      <c r="CFQ554"/>
      <c r="CFR554"/>
      <c r="CFS554"/>
      <c r="CFT554"/>
      <c r="CFU554"/>
      <c r="CFV554"/>
      <c r="CFW554"/>
      <c r="CFX554"/>
      <c r="CFY554"/>
      <c r="CFZ554"/>
      <c r="CGA554"/>
      <c r="CGB554"/>
      <c r="CGC554"/>
      <c r="CGD554"/>
      <c r="CGE554"/>
      <c r="CGF554"/>
      <c r="CGG554"/>
      <c r="CGH554"/>
      <c r="CGI554"/>
      <c r="CGJ554"/>
      <c r="CGK554"/>
      <c r="CGL554"/>
      <c r="CGM554"/>
      <c r="CGN554"/>
      <c r="CGO554"/>
      <c r="CGP554"/>
      <c r="CGQ554"/>
      <c r="CGR554"/>
      <c r="CGS554"/>
      <c r="CGT554"/>
      <c r="CGU554"/>
      <c r="CGV554"/>
      <c r="CGW554"/>
      <c r="CGX554"/>
      <c r="CGY554"/>
      <c r="CGZ554"/>
      <c r="CHA554"/>
      <c r="CHB554"/>
      <c r="CHC554"/>
      <c r="CHD554"/>
      <c r="CHE554"/>
      <c r="CHF554"/>
      <c r="CHG554"/>
      <c r="CHH554"/>
      <c r="CHI554"/>
      <c r="CHJ554"/>
      <c r="CHK554"/>
      <c r="CHL554"/>
      <c r="CHM554"/>
      <c r="CHN554"/>
      <c r="CHO554"/>
      <c r="CHP554"/>
      <c r="CHQ554"/>
      <c r="CHR554"/>
      <c r="CHS554"/>
      <c r="CHT554"/>
      <c r="CHU554"/>
      <c r="CHV554"/>
      <c r="CHW554"/>
      <c r="CHX554"/>
      <c r="CHY554"/>
      <c r="CHZ554"/>
      <c r="CIA554"/>
      <c r="CIB554"/>
      <c r="CIC554"/>
      <c r="CID554"/>
      <c r="CIE554"/>
      <c r="CIF554"/>
      <c r="CIG554"/>
      <c r="CIH554"/>
      <c r="CII554"/>
      <c r="CIJ554"/>
      <c r="CIK554"/>
      <c r="CIL554"/>
      <c r="CIM554"/>
      <c r="CIN554"/>
      <c r="CIO554"/>
      <c r="CIP554"/>
      <c r="CIQ554"/>
      <c r="CIR554"/>
      <c r="CIS554"/>
      <c r="CIT554"/>
      <c r="CIU554"/>
      <c r="CIV554"/>
      <c r="CIW554"/>
      <c r="CIX554"/>
      <c r="CIY554"/>
      <c r="CIZ554"/>
      <c r="CJA554"/>
      <c r="CJB554"/>
      <c r="CJC554"/>
      <c r="CJD554"/>
      <c r="CJE554"/>
      <c r="CJF554"/>
      <c r="CJG554"/>
      <c r="CJH554"/>
      <c r="CJI554"/>
      <c r="CJJ554"/>
      <c r="CJK554"/>
      <c r="CJL554"/>
      <c r="CJM554"/>
      <c r="CJN554"/>
      <c r="CJO554"/>
      <c r="CJP554"/>
      <c r="CJQ554"/>
      <c r="CJR554"/>
      <c r="CJS554"/>
      <c r="CJT554"/>
      <c r="CJU554"/>
      <c r="CJV554"/>
      <c r="CJW554"/>
      <c r="CJX554"/>
      <c r="CJY554"/>
      <c r="CJZ554"/>
      <c r="CKA554"/>
      <c r="CKB554"/>
      <c r="CKC554"/>
      <c r="CKD554"/>
      <c r="CKE554"/>
      <c r="CKF554"/>
      <c r="CKG554"/>
      <c r="CKH554"/>
      <c r="CKI554"/>
      <c r="CKJ554"/>
      <c r="CKK554"/>
      <c r="CKL554"/>
      <c r="CKM554"/>
      <c r="CKN554"/>
      <c r="CKO554"/>
      <c r="CKP554"/>
      <c r="CKQ554"/>
      <c r="CKR554"/>
      <c r="CKS554"/>
      <c r="CKT554"/>
      <c r="CKU554"/>
      <c r="CKV554"/>
      <c r="CKW554"/>
      <c r="CKX554"/>
      <c r="CKY554"/>
      <c r="CKZ554"/>
      <c r="CLA554"/>
      <c r="CLB554"/>
      <c r="CLC554"/>
      <c r="CLD554"/>
      <c r="CLE554"/>
      <c r="CLF554"/>
      <c r="CLG554"/>
      <c r="CLH554"/>
      <c r="CLI554"/>
      <c r="CLJ554"/>
      <c r="CLK554"/>
      <c r="CLL554"/>
      <c r="CLM554"/>
      <c r="CLN554"/>
      <c r="CLO554"/>
      <c r="CLP554"/>
      <c r="CLQ554"/>
      <c r="CLR554"/>
      <c r="CLS554"/>
      <c r="CLT554"/>
      <c r="CLU554"/>
      <c r="CLV554"/>
      <c r="CLW554"/>
      <c r="CLX554"/>
      <c r="CLY554"/>
      <c r="CLZ554"/>
      <c r="CMA554"/>
      <c r="CMB554"/>
      <c r="CMC554"/>
      <c r="CMD554"/>
      <c r="CME554"/>
      <c r="CMF554"/>
      <c r="CMG554"/>
      <c r="CMH554"/>
      <c r="CMI554"/>
      <c r="CMJ554"/>
      <c r="CMK554"/>
      <c r="CML554"/>
      <c r="CMM554"/>
      <c r="CMN554"/>
      <c r="CMO554"/>
      <c r="CMP554"/>
      <c r="CMQ554"/>
      <c r="CMR554"/>
      <c r="CMS554"/>
      <c r="CMT554"/>
      <c r="CMU554"/>
      <c r="CMV554"/>
      <c r="CMW554"/>
      <c r="CMX554"/>
      <c r="CMY554"/>
      <c r="CMZ554"/>
      <c r="CNA554"/>
      <c r="CNB554"/>
      <c r="CNC554"/>
      <c r="CND554"/>
      <c r="CNE554"/>
      <c r="CNF554"/>
      <c r="CNG554"/>
      <c r="CNH554"/>
      <c r="CNI554"/>
      <c r="CNJ554"/>
      <c r="CNK554"/>
      <c r="CNL554"/>
      <c r="CNM554"/>
      <c r="CNN554"/>
      <c r="CNO554"/>
      <c r="CNP554"/>
      <c r="CNQ554"/>
      <c r="CNR554"/>
      <c r="CNS554"/>
      <c r="CNT554"/>
      <c r="CNU554"/>
      <c r="CNV554"/>
      <c r="CNW554"/>
      <c r="CNX554"/>
      <c r="CNY554"/>
      <c r="CNZ554"/>
      <c r="COA554"/>
      <c r="COB554"/>
      <c r="COC554"/>
      <c r="COD554"/>
      <c r="COE554"/>
      <c r="COF554"/>
      <c r="COG554"/>
      <c r="COH554"/>
      <c r="COI554"/>
      <c r="COJ554"/>
      <c r="COK554"/>
      <c r="COL554"/>
      <c r="COM554"/>
      <c r="CON554"/>
      <c r="COO554"/>
      <c r="COP554"/>
      <c r="COQ554"/>
      <c r="COR554"/>
      <c r="COS554"/>
      <c r="COT554"/>
      <c r="COU554"/>
      <c r="COV554"/>
      <c r="COW554"/>
      <c r="COX554"/>
      <c r="COY554"/>
      <c r="COZ554"/>
      <c r="CPA554"/>
      <c r="CPB554"/>
      <c r="CPC554"/>
      <c r="CPD554"/>
      <c r="CPE554"/>
      <c r="CPF554"/>
      <c r="CPG554"/>
      <c r="CPH554"/>
      <c r="CPI554"/>
      <c r="CPJ554"/>
      <c r="CPK554"/>
      <c r="CPL554"/>
      <c r="CPM554"/>
      <c r="CPN554"/>
      <c r="CPO554"/>
      <c r="CPP554"/>
      <c r="CPQ554"/>
      <c r="CPR554"/>
      <c r="CPS554"/>
      <c r="CPT554"/>
      <c r="CPU554"/>
      <c r="CPV554"/>
      <c r="CPW554"/>
      <c r="CPX554"/>
      <c r="CPY554"/>
      <c r="CPZ554"/>
      <c r="CQA554"/>
      <c r="CQB554"/>
      <c r="CQC554"/>
      <c r="CQD554"/>
      <c r="CQE554"/>
      <c r="CQF554"/>
      <c r="CQG554"/>
      <c r="CQH554"/>
      <c r="CQI554"/>
      <c r="CQJ554"/>
      <c r="CQK554"/>
      <c r="CQL554"/>
      <c r="CQM554"/>
      <c r="CQN554"/>
      <c r="CQO554"/>
      <c r="CQP554"/>
      <c r="CQQ554"/>
      <c r="CQR554"/>
      <c r="CQS554"/>
      <c r="CQT554"/>
      <c r="CQU554"/>
      <c r="CQV554"/>
      <c r="CQW554"/>
      <c r="CQX554"/>
      <c r="CQY554"/>
      <c r="CQZ554"/>
      <c r="CRA554"/>
      <c r="CRB554"/>
      <c r="CRC554"/>
      <c r="CRD554"/>
      <c r="CRE554"/>
      <c r="CRF554"/>
      <c r="CRG554"/>
      <c r="CRH554"/>
      <c r="CRI554"/>
      <c r="CRJ554"/>
      <c r="CRK554"/>
      <c r="CRL554"/>
      <c r="CRM554"/>
      <c r="CRN554"/>
      <c r="CRO554"/>
      <c r="CRP554"/>
      <c r="CRQ554"/>
      <c r="CRR554"/>
      <c r="CRS554"/>
      <c r="CRT554"/>
      <c r="CRU554"/>
      <c r="CRV554"/>
      <c r="CRW554"/>
      <c r="CRX554"/>
      <c r="CRY554"/>
      <c r="CRZ554"/>
      <c r="CSA554"/>
      <c r="CSB554"/>
      <c r="CSC554"/>
      <c r="CSD554"/>
      <c r="CSE554"/>
      <c r="CSF554"/>
      <c r="CSG554"/>
      <c r="CSH554"/>
      <c r="CSI554"/>
      <c r="CSJ554"/>
      <c r="CSK554"/>
      <c r="CSL554"/>
      <c r="CSM554"/>
      <c r="CSN554"/>
      <c r="CSO554"/>
      <c r="CSP554"/>
      <c r="CSQ554"/>
      <c r="CSR554"/>
      <c r="CSS554"/>
      <c r="CST554"/>
      <c r="CSU554"/>
      <c r="CSV554"/>
      <c r="CSW554"/>
      <c r="CSX554"/>
      <c r="CSY554"/>
      <c r="CSZ554"/>
      <c r="CTA554"/>
      <c r="CTB554"/>
      <c r="CTC554"/>
      <c r="CTD554"/>
      <c r="CTE554"/>
      <c r="CTF554"/>
      <c r="CTG554"/>
      <c r="CTH554"/>
      <c r="CTI554"/>
      <c r="CTJ554"/>
      <c r="CTK554"/>
      <c r="CTL554"/>
      <c r="CTM554"/>
      <c r="CTN554"/>
      <c r="CTO554"/>
      <c r="CTP554"/>
      <c r="CTQ554"/>
      <c r="CTR554"/>
      <c r="CTS554"/>
      <c r="CTT554"/>
      <c r="CTU554"/>
      <c r="CTV554"/>
      <c r="CTW554"/>
      <c r="CTX554"/>
      <c r="CTY554"/>
      <c r="CTZ554"/>
      <c r="CUA554"/>
      <c r="CUB554"/>
      <c r="CUC554"/>
      <c r="CUD554"/>
      <c r="CUE554"/>
      <c r="CUF554"/>
      <c r="CUG554"/>
      <c r="CUH554"/>
      <c r="CUI554"/>
      <c r="CUJ554"/>
      <c r="CUK554"/>
      <c r="CUL554"/>
      <c r="CUM554"/>
      <c r="CUN554"/>
      <c r="CUO554"/>
      <c r="CUP554"/>
      <c r="CUQ554"/>
      <c r="CUR554"/>
      <c r="CUS554"/>
      <c r="CUT554"/>
      <c r="CUU554"/>
      <c r="CUV554"/>
      <c r="CUW554"/>
      <c r="CUX554"/>
      <c r="CUY554"/>
      <c r="CUZ554"/>
      <c r="CVA554"/>
      <c r="CVB554"/>
      <c r="CVC554"/>
      <c r="CVD554"/>
      <c r="CVE554"/>
      <c r="CVF554"/>
      <c r="CVG554"/>
      <c r="CVH554"/>
      <c r="CVI554"/>
      <c r="CVJ554"/>
      <c r="CVK554"/>
      <c r="CVL554"/>
      <c r="CVM554"/>
      <c r="CVN554"/>
      <c r="CVO554"/>
      <c r="CVP554"/>
      <c r="CVQ554"/>
      <c r="CVR554"/>
      <c r="CVS554"/>
      <c r="CVT554"/>
      <c r="CVU554"/>
      <c r="CVV554"/>
      <c r="CVW554"/>
      <c r="CVX554"/>
      <c r="CVY554"/>
      <c r="CVZ554"/>
      <c r="CWA554"/>
      <c r="CWB554"/>
      <c r="CWC554"/>
      <c r="CWD554"/>
      <c r="CWE554"/>
      <c r="CWF554"/>
      <c r="CWG554"/>
      <c r="CWH554"/>
      <c r="CWI554"/>
      <c r="CWJ554"/>
      <c r="CWK554"/>
      <c r="CWL554"/>
      <c r="CWM554"/>
      <c r="CWN554"/>
      <c r="CWO554"/>
      <c r="CWP554"/>
      <c r="CWQ554"/>
      <c r="CWR554"/>
      <c r="CWS554"/>
      <c r="CWT554"/>
      <c r="CWU554"/>
      <c r="CWV554"/>
      <c r="CWW554"/>
      <c r="CWX554"/>
      <c r="CWY554"/>
      <c r="CWZ554"/>
      <c r="CXA554"/>
      <c r="CXB554"/>
      <c r="CXC554"/>
      <c r="CXD554"/>
      <c r="CXE554"/>
      <c r="CXF554"/>
      <c r="CXG554"/>
      <c r="CXH554"/>
      <c r="CXI554"/>
      <c r="CXJ554"/>
      <c r="CXK554"/>
      <c r="CXL554"/>
      <c r="CXM554"/>
      <c r="CXN554"/>
      <c r="CXO554"/>
      <c r="CXP554"/>
      <c r="CXQ554"/>
      <c r="CXR554"/>
      <c r="CXS554"/>
      <c r="CXT554"/>
      <c r="CXU554"/>
      <c r="CXV554"/>
      <c r="CXW554"/>
      <c r="CXX554"/>
      <c r="CXY554"/>
      <c r="CXZ554"/>
      <c r="CYA554"/>
      <c r="CYB554"/>
      <c r="CYC554"/>
      <c r="CYD554"/>
      <c r="CYE554"/>
      <c r="CYF554"/>
      <c r="CYG554"/>
      <c r="CYH554"/>
      <c r="CYI554"/>
      <c r="CYJ554"/>
      <c r="CYK554"/>
      <c r="CYL554"/>
      <c r="CYM554"/>
      <c r="CYN554"/>
      <c r="CYO554"/>
      <c r="CYP554"/>
      <c r="CYQ554"/>
      <c r="CYR554"/>
      <c r="CYS554"/>
      <c r="CYT554"/>
      <c r="CYU554"/>
      <c r="CYV554"/>
      <c r="CYW554"/>
      <c r="CYX554"/>
      <c r="CYY554"/>
      <c r="CYZ554"/>
      <c r="CZA554"/>
      <c r="CZB554"/>
      <c r="CZC554"/>
      <c r="CZD554"/>
      <c r="CZE554"/>
      <c r="CZF554"/>
      <c r="CZG554"/>
      <c r="CZH554"/>
      <c r="CZI554"/>
      <c r="CZJ554"/>
      <c r="CZK554"/>
      <c r="CZL554"/>
      <c r="CZM554"/>
      <c r="CZN554"/>
      <c r="CZO554"/>
      <c r="CZP554"/>
      <c r="CZQ554"/>
      <c r="CZR554"/>
      <c r="CZS554"/>
      <c r="CZT554"/>
      <c r="CZU554"/>
      <c r="CZV554"/>
      <c r="CZW554"/>
      <c r="CZX554"/>
      <c r="CZY554"/>
      <c r="CZZ554"/>
      <c r="DAA554"/>
      <c r="DAB554"/>
      <c r="DAC554"/>
      <c r="DAD554"/>
      <c r="DAE554"/>
      <c r="DAF554"/>
      <c r="DAG554"/>
      <c r="DAH554"/>
      <c r="DAI554"/>
      <c r="DAJ554"/>
      <c r="DAK554"/>
      <c r="DAL554"/>
      <c r="DAM554"/>
      <c r="DAN554"/>
      <c r="DAO554"/>
      <c r="DAP554"/>
      <c r="DAQ554"/>
      <c r="DAR554"/>
      <c r="DAS554"/>
      <c r="DAT554"/>
      <c r="DAU554"/>
      <c r="DAV554"/>
      <c r="DAW554"/>
      <c r="DAX554"/>
      <c r="DAY554"/>
      <c r="DAZ554"/>
      <c r="DBA554"/>
      <c r="DBB554"/>
      <c r="DBC554"/>
      <c r="DBD554"/>
      <c r="DBE554"/>
      <c r="DBF554"/>
      <c r="DBG554"/>
      <c r="DBH554"/>
      <c r="DBI554"/>
      <c r="DBJ554"/>
      <c r="DBK554"/>
      <c r="DBL554"/>
      <c r="DBM554"/>
      <c r="DBN554"/>
      <c r="DBO554"/>
      <c r="DBP554"/>
      <c r="DBQ554"/>
      <c r="DBR554"/>
      <c r="DBS554"/>
      <c r="DBT554"/>
      <c r="DBU554"/>
      <c r="DBV554"/>
      <c r="DBW554"/>
      <c r="DBX554"/>
      <c r="DBY554"/>
      <c r="DBZ554"/>
      <c r="DCA554"/>
      <c r="DCB554"/>
      <c r="DCC554"/>
      <c r="DCD554"/>
      <c r="DCE554"/>
      <c r="DCF554"/>
      <c r="DCG554"/>
      <c r="DCH554"/>
      <c r="DCI554"/>
      <c r="DCJ554"/>
      <c r="DCK554"/>
      <c r="DCL554"/>
      <c r="DCM554"/>
      <c r="DCN554"/>
      <c r="DCO554"/>
      <c r="DCP554"/>
      <c r="DCQ554"/>
      <c r="DCR554"/>
      <c r="DCS554"/>
      <c r="DCT554"/>
      <c r="DCU554"/>
      <c r="DCV554"/>
      <c r="DCW554"/>
      <c r="DCX554"/>
      <c r="DCY554"/>
      <c r="DCZ554"/>
      <c r="DDA554"/>
      <c r="DDB554"/>
      <c r="DDC554"/>
      <c r="DDD554"/>
      <c r="DDE554"/>
      <c r="DDF554"/>
      <c r="DDG554"/>
      <c r="DDH554"/>
      <c r="DDI554"/>
      <c r="DDJ554"/>
      <c r="DDK554"/>
      <c r="DDL554"/>
      <c r="DDM554"/>
      <c r="DDN554"/>
      <c r="DDO554"/>
      <c r="DDP554"/>
      <c r="DDQ554"/>
      <c r="DDR554"/>
      <c r="DDS554"/>
      <c r="DDT554"/>
      <c r="DDU554"/>
      <c r="DDV554"/>
      <c r="DDW554"/>
      <c r="DDX554"/>
      <c r="DDY554"/>
      <c r="DDZ554"/>
      <c r="DEA554"/>
      <c r="DEB554"/>
      <c r="DEC554"/>
      <c r="DED554"/>
      <c r="DEE554"/>
      <c r="DEF554"/>
      <c r="DEG554"/>
      <c r="DEH554"/>
      <c r="DEI554"/>
      <c r="DEJ554"/>
      <c r="DEK554"/>
      <c r="DEL554"/>
      <c r="DEM554"/>
      <c r="DEN554"/>
      <c r="DEO554"/>
      <c r="DEP554"/>
      <c r="DEQ554"/>
      <c r="DER554"/>
      <c r="DES554"/>
      <c r="DET554"/>
      <c r="DEU554"/>
      <c r="DEV554"/>
      <c r="DEW554"/>
      <c r="DEX554"/>
      <c r="DEY554"/>
      <c r="DEZ554"/>
      <c r="DFA554"/>
      <c r="DFB554"/>
      <c r="DFC554"/>
      <c r="DFD554"/>
      <c r="DFE554"/>
      <c r="DFF554"/>
      <c r="DFG554"/>
      <c r="DFH554"/>
      <c r="DFI554"/>
      <c r="DFJ554"/>
      <c r="DFK554"/>
      <c r="DFL554"/>
      <c r="DFM554"/>
      <c r="DFN554"/>
      <c r="DFO554"/>
      <c r="DFP554"/>
      <c r="DFQ554"/>
      <c r="DFR554"/>
      <c r="DFS554"/>
      <c r="DFT554"/>
      <c r="DFU554"/>
      <c r="DFV554"/>
      <c r="DFW554"/>
      <c r="DFX554"/>
      <c r="DFY554"/>
      <c r="DFZ554"/>
      <c r="DGA554"/>
      <c r="DGB554"/>
      <c r="DGC554"/>
      <c r="DGD554"/>
      <c r="DGE554"/>
      <c r="DGF554"/>
      <c r="DGG554"/>
      <c r="DGH554"/>
      <c r="DGI554"/>
      <c r="DGJ554"/>
      <c r="DGK554"/>
      <c r="DGL554"/>
      <c r="DGM554"/>
      <c r="DGN554"/>
      <c r="DGO554"/>
      <c r="DGP554"/>
      <c r="DGQ554"/>
      <c r="DGR554"/>
      <c r="DGS554"/>
      <c r="DGT554"/>
      <c r="DGU554"/>
      <c r="DGV554"/>
      <c r="DGW554"/>
      <c r="DGX554"/>
      <c r="DGY554"/>
      <c r="DGZ554"/>
      <c r="DHA554"/>
      <c r="DHB554"/>
      <c r="DHC554"/>
      <c r="DHD554"/>
      <c r="DHE554"/>
      <c r="DHF554"/>
      <c r="DHG554"/>
      <c r="DHH554"/>
      <c r="DHI554"/>
      <c r="DHJ554"/>
      <c r="DHK554"/>
      <c r="DHL554"/>
      <c r="DHM554"/>
      <c r="DHN554"/>
      <c r="DHO554"/>
      <c r="DHP554"/>
      <c r="DHQ554"/>
      <c r="DHR554"/>
      <c r="DHS554"/>
      <c r="DHT554"/>
      <c r="DHU554"/>
      <c r="DHV554"/>
      <c r="DHW554"/>
      <c r="DHX554"/>
      <c r="DHY554"/>
      <c r="DHZ554"/>
      <c r="DIA554"/>
      <c r="DIB554"/>
      <c r="DIC554"/>
      <c r="DID554"/>
      <c r="DIE554"/>
      <c r="DIF554"/>
      <c r="DIG554"/>
      <c r="DIH554"/>
      <c r="DII554"/>
      <c r="DIJ554"/>
      <c r="DIK554"/>
      <c r="DIL554"/>
      <c r="DIM554"/>
      <c r="DIN554"/>
      <c r="DIO554"/>
      <c r="DIP554"/>
      <c r="DIQ554"/>
      <c r="DIR554"/>
      <c r="DIS554"/>
      <c r="DIT554"/>
      <c r="DIU554"/>
      <c r="DIV554"/>
      <c r="DIW554"/>
      <c r="DIX554"/>
      <c r="DIY554"/>
      <c r="DIZ554"/>
      <c r="DJA554"/>
      <c r="DJB554"/>
      <c r="DJC554"/>
      <c r="DJD554"/>
      <c r="DJE554"/>
      <c r="DJF554"/>
      <c r="DJG554"/>
      <c r="DJH554"/>
      <c r="DJI554"/>
      <c r="DJJ554"/>
      <c r="DJK554"/>
      <c r="DJL554"/>
      <c r="DJM554"/>
      <c r="DJN554"/>
      <c r="DJO554"/>
      <c r="DJP554"/>
      <c r="DJQ554"/>
      <c r="DJR554"/>
      <c r="DJS554"/>
      <c r="DJT554"/>
      <c r="DJU554"/>
      <c r="DJV554"/>
      <c r="DJW554"/>
      <c r="DJX554"/>
      <c r="DJY554"/>
      <c r="DJZ554"/>
      <c r="DKA554"/>
      <c r="DKB554"/>
      <c r="DKC554"/>
      <c r="DKD554"/>
      <c r="DKE554"/>
      <c r="DKF554"/>
      <c r="DKG554"/>
      <c r="DKH554"/>
      <c r="DKI554"/>
      <c r="DKJ554"/>
      <c r="DKK554"/>
      <c r="DKL554"/>
      <c r="DKM554"/>
      <c r="DKN554"/>
      <c r="DKO554"/>
      <c r="DKP554"/>
      <c r="DKQ554"/>
      <c r="DKR554"/>
      <c r="DKS554"/>
      <c r="DKT554"/>
      <c r="DKU554"/>
      <c r="DKV554"/>
      <c r="DKW554"/>
      <c r="DKX554"/>
      <c r="DKY554"/>
      <c r="DKZ554"/>
      <c r="DLA554"/>
      <c r="DLB554"/>
      <c r="DLC554"/>
      <c r="DLD554"/>
      <c r="DLE554"/>
      <c r="DLF554"/>
      <c r="DLG554"/>
      <c r="DLH554"/>
      <c r="DLI554"/>
      <c r="DLJ554"/>
      <c r="DLK554"/>
      <c r="DLL554"/>
      <c r="DLM554"/>
      <c r="DLN554"/>
      <c r="DLO554"/>
      <c r="DLP554"/>
      <c r="DLQ554"/>
      <c r="DLR554"/>
      <c r="DLS554"/>
      <c r="DLT554"/>
      <c r="DLU554"/>
      <c r="DLV554"/>
      <c r="DLW554"/>
      <c r="DLX554"/>
      <c r="DLY554"/>
      <c r="DLZ554"/>
      <c r="DMA554"/>
      <c r="DMB554"/>
      <c r="DMC554"/>
      <c r="DMD554"/>
      <c r="DME554"/>
      <c r="DMF554"/>
      <c r="DMG554"/>
      <c r="DMH554"/>
      <c r="DMI554"/>
      <c r="DMJ554"/>
      <c r="DMK554"/>
      <c r="DML554"/>
      <c r="DMM554"/>
      <c r="DMN554"/>
      <c r="DMO554"/>
      <c r="DMP554"/>
      <c r="DMQ554"/>
      <c r="DMR554"/>
      <c r="DMS554"/>
      <c r="DMT554"/>
      <c r="DMU554"/>
      <c r="DMV554"/>
      <c r="DMW554"/>
      <c r="DMX554"/>
      <c r="DMY554"/>
      <c r="DMZ554"/>
      <c r="DNA554"/>
      <c r="DNB554"/>
      <c r="DNC554"/>
      <c r="DND554"/>
      <c r="DNE554"/>
      <c r="DNF554"/>
      <c r="DNG554"/>
      <c r="DNH554"/>
      <c r="DNI554"/>
      <c r="DNJ554"/>
      <c r="DNK554"/>
      <c r="DNL554"/>
      <c r="DNM554"/>
      <c r="DNN554"/>
      <c r="DNO554"/>
      <c r="DNP554"/>
      <c r="DNQ554"/>
      <c r="DNR554"/>
      <c r="DNS554"/>
      <c r="DNT554"/>
      <c r="DNU554"/>
      <c r="DNV554"/>
      <c r="DNW554"/>
      <c r="DNX554"/>
      <c r="DNY554"/>
      <c r="DNZ554"/>
      <c r="DOA554"/>
      <c r="DOB554"/>
      <c r="DOC554"/>
      <c r="DOD554"/>
      <c r="DOE554"/>
      <c r="DOF554"/>
      <c r="DOG554"/>
      <c r="DOH554"/>
      <c r="DOI554"/>
      <c r="DOJ554"/>
      <c r="DOK554"/>
      <c r="DOL554"/>
      <c r="DOM554"/>
      <c r="DON554"/>
      <c r="DOO554"/>
      <c r="DOP554"/>
      <c r="DOQ554"/>
      <c r="DOR554"/>
      <c r="DOS554"/>
      <c r="DOT554"/>
      <c r="DOU554"/>
      <c r="DOV554"/>
      <c r="DOW554"/>
      <c r="DOX554"/>
      <c r="DOY554"/>
      <c r="DOZ554"/>
      <c r="DPA554"/>
      <c r="DPB554"/>
      <c r="DPC554"/>
      <c r="DPD554"/>
      <c r="DPE554"/>
      <c r="DPF554"/>
      <c r="DPG554"/>
      <c r="DPH554"/>
      <c r="DPI554"/>
      <c r="DPJ554"/>
      <c r="DPK554"/>
      <c r="DPL554"/>
      <c r="DPM554"/>
      <c r="DPN554"/>
      <c r="DPO554"/>
      <c r="DPP554"/>
      <c r="DPQ554"/>
      <c r="DPR554"/>
      <c r="DPS554"/>
      <c r="DPT554"/>
      <c r="DPU554"/>
      <c r="DPV554"/>
      <c r="DPW554"/>
      <c r="DPX554"/>
      <c r="DPY554"/>
      <c r="DPZ554"/>
      <c r="DQA554"/>
      <c r="DQB554"/>
      <c r="DQC554"/>
      <c r="DQD554"/>
      <c r="DQE554"/>
      <c r="DQF554"/>
      <c r="DQG554"/>
      <c r="DQH554"/>
      <c r="DQI554"/>
      <c r="DQJ554"/>
      <c r="DQK554"/>
      <c r="DQL554"/>
      <c r="DQM554"/>
      <c r="DQN554"/>
      <c r="DQO554"/>
      <c r="DQP554"/>
      <c r="DQQ554"/>
      <c r="DQR554"/>
      <c r="DQS554"/>
      <c r="DQT554"/>
      <c r="DQU554"/>
      <c r="DQV554"/>
      <c r="DQW554"/>
      <c r="DQX554"/>
      <c r="DQY554"/>
      <c r="DQZ554"/>
      <c r="DRA554"/>
      <c r="DRB554"/>
      <c r="DRC554"/>
      <c r="DRD554"/>
      <c r="DRE554"/>
      <c r="DRF554"/>
      <c r="DRG554"/>
      <c r="DRH554"/>
      <c r="DRI554"/>
      <c r="DRJ554"/>
      <c r="DRK554"/>
      <c r="DRL554"/>
      <c r="DRM554"/>
      <c r="DRN554"/>
      <c r="DRO554"/>
      <c r="DRP554"/>
      <c r="DRQ554"/>
      <c r="DRR554"/>
      <c r="DRS554"/>
      <c r="DRT554"/>
      <c r="DRU554"/>
      <c r="DRV554"/>
      <c r="DRW554"/>
      <c r="DRX554"/>
      <c r="DRY554"/>
      <c r="DRZ554"/>
      <c r="DSA554"/>
      <c r="DSB554"/>
      <c r="DSC554"/>
      <c r="DSD554"/>
      <c r="DSE554"/>
      <c r="DSF554"/>
      <c r="DSG554"/>
      <c r="DSH554"/>
      <c r="DSI554"/>
      <c r="DSJ554"/>
      <c r="DSK554"/>
      <c r="DSL554"/>
      <c r="DSM554"/>
      <c r="DSN554"/>
      <c r="DSO554"/>
      <c r="DSP554"/>
      <c r="DSQ554"/>
      <c r="DSR554"/>
      <c r="DSS554"/>
      <c r="DST554"/>
      <c r="DSU554"/>
      <c r="DSV554"/>
      <c r="DSW554"/>
      <c r="DSX554"/>
      <c r="DSY554"/>
      <c r="DSZ554"/>
      <c r="DTA554"/>
      <c r="DTB554"/>
      <c r="DTC554"/>
      <c r="DTD554"/>
      <c r="DTE554"/>
      <c r="DTF554"/>
      <c r="DTG554"/>
      <c r="DTH554"/>
      <c r="DTI554"/>
      <c r="DTJ554"/>
      <c r="DTK554"/>
      <c r="DTL554"/>
      <c r="DTM554"/>
      <c r="DTN554"/>
      <c r="DTO554"/>
      <c r="DTP554"/>
      <c r="DTQ554"/>
      <c r="DTR554"/>
      <c r="DTS554"/>
      <c r="DTT554"/>
      <c r="DTU554"/>
      <c r="DTV554"/>
      <c r="DTW554"/>
      <c r="DTX554"/>
      <c r="DTY554"/>
      <c r="DTZ554"/>
      <c r="DUA554"/>
      <c r="DUB554"/>
      <c r="DUC554"/>
      <c r="DUD554"/>
      <c r="DUE554"/>
      <c r="DUF554"/>
      <c r="DUG554"/>
      <c r="DUH554"/>
      <c r="DUI554"/>
      <c r="DUJ554"/>
      <c r="DUK554"/>
      <c r="DUL554"/>
      <c r="DUM554"/>
      <c r="DUN554"/>
      <c r="DUO554"/>
      <c r="DUP554"/>
      <c r="DUQ554"/>
      <c r="DUR554"/>
      <c r="DUS554"/>
      <c r="DUT554"/>
      <c r="DUU554"/>
      <c r="DUV554"/>
      <c r="DUW554"/>
      <c r="DUX554"/>
      <c r="DUY554"/>
      <c r="DUZ554"/>
      <c r="DVA554"/>
      <c r="DVB554"/>
      <c r="DVC554"/>
      <c r="DVD554"/>
      <c r="DVE554"/>
      <c r="DVF554"/>
      <c r="DVG554"/>
      <c r="DVH554"/>
      <c r="DVI554"/>
      <c r="DVJ554"/>
      <c r="DVK554"/>
      <c r="DVL554"/>
      <c r="DVM554"/>
      <c r="DVN554"/>
      <c r="DVO554"/>
      <c r="DVP554"/>
      <c r="DVQ554"/>
      <c r="DVR554"/>
      <c r="DVS554"/>
      <c r="DVT554"/>
      <c r="DVU554"/>
      <c r="DVV554"/>
      <c r="DVW554"/>
      <c r="DVX554"/>
      <c r="DVY554"/>
      <c r="DVZ554"/>
      <c r="DWA554"/>
      <c r="DWB554"/>
      <c r="DWC554"/>
      <c r="DWD554"/>
      <c r="DWE554"/>
      <c r="DWF554"/>
      <c r="DWG554"/>
      <c r="DWH554"/>
      <c r="DWI554"/>
      <c r="DWJ554"/>
      <c r="DWK554"/>
      <c r="DWL554"/>
      <c r="DWM554"/>
      <c r="DWN554"/>
      <c r="DWO554"/>
      <c r="DWP554"/>
      <c r="DWQ554"/>
      <c r="DWR554"/>
      <c r="DWS554"/>
      <c r="DWT554"/>
      <c r="DWU554"/>
      <c r="DWV554"/>
      <c r="DWW554"/>
      <c r="DWX554"/>
      <c r="DWY554"/>
      <c r="DWZ554"/>
      <c r="DXA554"/>
      <c r="DXB554"/>
      <c r="DXC554"/>
      <c r="DXD554"/>
      <c r="DXE554"/>
      <c r="DXF554"/>
      <c r="DXG554"/>
      <c r="DXH554"/>
      <c r="DXI554"/>
      <c r="DXJ554"/>
      <c r="DXK554"/>
      <c r="DXL554"/>
      <c r="DXM554"/>
      <c r="DXN554"/>
      <c r="DXO554"/>
      <c r="DXP554"/>
      <c r="DXQ554"/>
      <c r="DXR554"/>
      <c r="DXS554"/>
      <c r="DXT554"/>
      <c r="DXU554"/>
      <c r="DXV554"/>
      <c r="DXW554"/>
      <c r="DXX554"/>
      <c r="DXY554"/>
      <c r="DXZ554"/>
      <c r="DYA554"/>
      <c r="DYB554"/>
      <c r="DYC554"/>
      <c r="DYD554"/>
      <c r="DYE554"/>
      <c r="DYF554"/>
      <c r="DYG554"/>
      <c r="DYH554"/>
      <c r="DYI554"/>
      <c r="DYJ554"/>
      <c r="DYK554"/>
      <c r="DYL554"/>
      <c r="DYM554"/>
      <c r="DYN554"/>
      <c r="DYO554"/>
      <c r="DYP554"/>
      <c r="DYQ554"/>
      <c r="DYR554"/>
      <c r="DYS554"/>
      <c r="DYT554"/>
      <c r="DYU554"/>
      <c r="DYV554"/>
      <c r="DYW554"/>
      <c r="DYX554"/>
      <c r="DYY554"/>
      <c r="DYZ554"/>
      <c r="DZA554"/>
      <c r="DZB554"/>
      <c r="DZC554"/>
      <c r="DZD554"/>
      <c r="DZE554"/>
      <c r="DZF554"/>
      <c r="DZG554"/>
      <c r="DZH554"/>
      <c r="DZI554"/>
      <c r="DZJ554"/>
      <c r="DZK554"/>
      <c r="DZL554"/>
      <c r="DZM554"/>
      <c r="DZN554"/>
      <c r="DZO554"/>
      <c r="DZP554"/>
      <c r="DZQ554"/>
      <c r="DZR554"/>
      <c r="DZS554"/>
      <c r="DZT554"/>
      <c r="DZU554"/>
      <c r="DZV554"/>
      <c r="DZW554"/>
      <c r="DZX554"/>
      <c r="DZY554"/>
      <c r="DZZ554"/>
      <c r="EAA554"/>
      <c r="EAB554"/>
      <c r="EAC554"/>
      <c r="EAD554"/>
      <c r="EAE554"/>
      <c r="EAF554"/>
      <c r="EAG554"/>
      <c r="EAH554"/>
      <c r="EAI554"/>
      <c r="EAJ554"/>
      <c r="EAK554"/>
      <c r="EAL554"/>
      <c r="EAM554"/>
      <c r="EAN554"/>
      <c r="EAO554"/>
      <c r="EAP554"/>
      <c r="EAQ554"/>
      <c r="EAR554"/>
      <c r="EAS554"/>
      <c r="EAT554"/>
      <c r="EAU554"/>
      <c r="EAV554"/>
      <c r="EAW554"/>
      <c r="EAX554"/>
      <c r="EAY554"/>
      <c r="EAZ554"/>
      <c r="EBA554"/>
      <c r="EBB554"/>
      <c r="EBC554"/>
      <c r="EBD554"/>
      <c r="EBE554"/>
      <c r="EBF554"/>
      <c r="EBG554"/>
      <c r="EBH554"/>
      <c r="EBI554"/>
      <c r="EBJ554"/>
      <c r="EBK554"/>
      <c r="EBL554"/>
      <c r="EBM554"/>
      <c r="EBN554"/>
      <c r="EBO554"/>
      <c r="EBP554"/>
      <c r="EBQ554"/>
      <c r="EBR554"/>
      <c r="EBS554"/>
      <c r="EBT554"/>
      <c r="EBU554"/>
      <c r="EBV554"/>
      <c r="EBW554"/>
      <c r="EBX554"/>
      <c r="EBY554"/>
      <c r="EBZ554"/>
      <c r="ECA554"/>
      <c r="ECB554"/>
      <c r="ECC554"/>
      <c r="ECD554"/>
      <c r="ECE554"/>
      <c r="ECF554"/>
      <c r="ECG554"/>
      <c r="ECH554"/>
      <c r="ECI554"/>
      <c r="ECJ554"/>
      <c r="ECK554"/>
      <c r="ECL554"/>
      <c r="ECM554"/>
      <c r="ECN554"/>
      <c r="ECO554"/>
      <c r="ECP554"/>
      <c r="ECQ554"/>
      <c r="ECR554"/>
      <c r="ECS554"/>
      <c r="ECT554"/>
      <c r="ECU554"/>
      <c r="ECV554"/>
      <c r="ECW554"/>
      <c r="ECX554"/>
      <c r="ECY554"/>
      <c r="ECZ554"/>
      <c r="EDA554"/>
      <c r="EDB554"/>
      <c r="EDC554"/>
      <c r="EDD554"/>
      <c r="EDE554"/>
      <c r="EDF554"/>
      <c r="EDG554"/>
      <c r="EDH554"/>
      <c r="EDI554"/>
      <c r="EDJ554"/>
      <c r="EDK554"/>
      <c r="EDL554"/>
      <c r="EDM554"/>
      <c r="EDN554"/>
      <c r="EDO554"/>
      <c r="EDP554"/>
      <c r="EDQ554"/>
      <c r="EDR554"/>
      <c r="EDS554"/>
      <c r="EDT554"/>
      <c r="EDU554"/>
      <c r="EDV554"/>
      <c r="EDW554"/>
      <c r="EDX554"/>
      <c r="EDY554"/>
      <c r="EDZ554"/>
      <c r="EEA554"/>
      <c r="EEB554"/>
      <c r="EEC554"/>
      <c r="EED554"/>
      <c r="EEE554"/>
      <c r="EEF554"/>
      <c r="EEG554"/>
      <c r="EEH554"/>
      <c r="EEI554"/>
      <c r="EEJ554"/>
      <c r="EEK554"/>
      <c r="EEL554"/>
      <c r="EEM554"/>
      <c r="EEN554"/>
      <c r="EEO554"/>
      <c r="EEP554"/>
      <c r="EEQ554"/>
      <c r="EER554"/>
      <c r="EES554"/>
      <c r="EET554"/>
      <c r="EEU554"/>
      <c r="EEV554"/>
      <c r="EEW554"/>
      <c r="EEX554"/>
      <c r="EEY554"/>
      <c r="EEZ554"/>
      <c r="EFA554"/>
      <c r="EFB554"/>
      <c r="EFC554"/>
      <c r="EFD554"/>
      <c r="EFE554"/>
      <c r="EFF554"/>
      <c r="EFG554"/>
      <c r="EFH554"/>
      <c r="EFI554"/>
      <c r="EFJ554"/>
      <c r="EFK554"/>
      <c r="EFL554"/>
      <c r="EFM554"/>
      <c r="EFN554"/>
      <c r="EFO554"/>
      <c r="EFP554"/>
      <c r="EFQ554"/>
      <c r="EFR554"/>
      <c r="EFS554"/>
      <c r="EFT554"/>
      <c r="EFU554"/>
      <c r="EFV554"/>
      <c r="EFW554"/>
      <c r="EFX554"/>
      <c r="EFY554"/>
      <c r="EFZ554"/>
      <c r="EGA554"/>
      <c r="EGB554"/>
      <c r="EGC554"/>
      <c r="EGD554"/>
      <c r="EGE554"/>
      <c r="EGF554"/>
      <c r="EGG554"/>
      <c r="EGH554"/>
      <c r="EGI554"/>
      <c r="EGJ554"/>
      <c r="EGK554"/>
      <c r="EGL554"/>
      <c r="EGM554"/>
      <c r="EGN554"/>
      <c r="EGO554"/>
      <c r="EGP554"/>
      <c r="EGQ554"/>
      <c r="EGR554"/>
      <c r="EGS554"/>
      <c r="EGT554"/>
      <c r="EGU554"/>
      <c r="EGV554"/>
      <c r="EGW554"/>
      <c r="EGX554"/>
      <c r="EGY554"/>
      <c r="EGZ554"/>
      <c r="EHA554"/>
      <c r="EHB554"/>
      <c r="EHC554"/>
      <c r="EHD554"/>
      <c r="EHE554"/>
      <c r="EHF554"/>
      <c r="EHG554"/>
      <c r="EHH554"/>
      <c r="EHI554"/>
      <c r="EHJ554"/>
      <c r="EHK554"/>
      <c r="EHL554"/>
      <c r="EHM554"/>
      <c r="EHN554"/>
      <c r="EHO554"/>
      <c r="EHP554"/>
      <c r="EHQ554"/>
      <c r="EHR554"/>
      <c r="EHS554"/>
      <c r="EHT554"/>
      <c r="EHU554"/>
      <c r="EHV554"/>
      <c r="EHW554"/>
      <c r="EHX554"/>
      <c r="EHY554"/>
      <c r="EHZ554"/>
      <c r="EIA554"/>
      <c r="EIB554"/>
      <c r="EIC554"/>
      <c r="EID554"/>
      <c r="EIE554"/>
      <c r="EIF554"/>
      <c r="EIG554"/>
      <c r="EIH554"/>
      <c r="EII554"/>
      <c r="EIJ554"/>
      <c r="EIK554"/>
      <c r="EIL554"/>
      <c r="EIM554"/>
      <c r="EIN554"/>
      <c r="EIO554"/>
      <c r="EIP554"/>
      <c r="EIQ554"/>
      <c r="EIR554"/>
      <c r="EIS554"/>
      <c r="EIT554"/>
      <c r="EIU554"/>
      <c r="EIV554"/>
      <c r="EIW554"/>
      <c r="EIX554"/>
      <c r="EIY554"/>
      <c r="EIZ554"/>
      <c r="EJA554"/>
      <c r="EJB554"/>
      <c r="EJC554"/>
      <c r="EJD554"/>
      <c r="EJE554"/>
      <c r="EJF554"/>
      <c r="EJG554"/>
      <c r="EJH554"/>
      <c r="EJI554"/>
      <c r="EJJ554"/>
      <c r="EJK554"/>
      <c r="EJL554"/>
      <c r="EJM554"/>
      <c r="EJN554"/>
      <c r="EJO554"/>
      <c r="EJP554"/>
      <c r="EJQ554"/>
      <c r="EJR554"/>
      <c r="EJS554"/>
      <c r="EJT554"/>
      <c r="EJU554"/>
      <c r="EJV554"/>
      <c r="EJW554"/>
      <c r="EJX554"/>
      <c r="EJY554"/>
      <c r="EJZ554"/>
      <c r="EKA554"/>
      <c r="EKB554"/>
      <c r="EKC554"/>
      <c r="EKD554"/>
      <c r="EKE554"/>
      <c r="EKF554"/>
      <c r="EKG554"/>
      <c r="EKH554"/>
      <c r="EKI554"/>
      <c r="EKJ554"/>
      <c r="EKK554"/>
      <c r="EKL554"/>
      <c r="EKM554"/>
      <c r="EKN554"/>
      <c r="EKO554"/>
      <c r="EKP554"/>
      <c r="EKQ554"/>
      <c r="EKR554"/>
      <c r="EKS554"/>
      <c r="EKT554"/>
      <c r="EKU554"/>
      <c r="EKV554"/>
      <c r="EKW554"/>
      <c r="EKX554"/>
      <c r="EKY554"/>
      <c r="EKZ554"/>
      <c r="ELA554"/>
      <c r="ELB554"/>
      <c r="ELC554"/>
      <c r="ELD554"/>
      <c r="ELE554"/>
      <c r="ELF554"/>
      <c r="ELG554"/>
      <c r="ELH554"/>
      <c r="ELI554"/>
      <c r="ELJ554"/>
      <c r="ELK554"/>
      <c r="ELL554"/>
      <c r="ELM554"/>
      <c r="ELN554"/>
      <c r="ELO554"/>
      <c r="ELP554"/>
      <c r="ELQ554"/>
      <c r="ELR554"/>
      <c r="ELS554"/>
      <c r="ELT554"/>
      <c r="ELU554"/>
      <c r="ELV554"/>
      <c r="ELW554"/>
      <c r="ELX554"/>
      <c r="ELY554"/>
      <c r="ELZ554"/>
      <c r="EMA554"/>
      <c r="EMB554"/>
      <c r="EMC554"/>
      <c r="EMD554"/>
      <c r="EME554"/>
      <c r="EMF554"/>
      <c r="EMG554"/>
      <c r="EMH554"/>
      <c r="EMI554"/>
      <c r="EMJ554"/>
      <c r="EMK554"/>
      <c r="EML554"/>
      <c r="EMM554"/>
      <c r="EMN554"/>
      <c r="EMO554"/>
      <c r="EMP554"/>
      <c r="EMQ554"/>
      <c r="EMR554"/>
      <c r="EMS554"/>
      <c r="EMT554"/>
      <c r="EMU554"/>
      <c r="EMV554"/>
      <c r="EMW554"/>
      <c r="EMX554"/>
      <c r="EMY554"/>
      <c r="EMZ554"/>
      <c r="ENA554"/>
      <c r="ENB554"/>
      <c r="ENC554"/>
      <c r="END554"/>
      <c r="ENE554"/>
      <c r="ENF554"/>
      <c r="ENG554"/>
      <c r="ENH554"/>
      <c r="ENI554"/>
      <c r="ENJ554"/>
      <c r="ENK554"/>
      <c r="ENL554"/>
      <c r="ENM554"/>
      <c r="ENN554"/>
      <c r="ENO554"/>
      <c r="ENP554"/>
      <c r="ENQ554"/>
      <c r="ENR554"/>
      <c r="ENS554"/>
      <c r="ENT554"/>
      <c r="ENU554"/>
      <c r="ENV554"/>
      <c r="ENW554"/>
      <c r="ENX554"/>
      <c r="ENY554"/>
      <c r="ENZ554"/>
      <c r="EOA554"/>
      <c r="EOB554"/>
      <c r="EOC554"/>
      <c r="EOD554"/>
      <c r="EOE554"/>
      <c r="EOF554"/>
      <c r="EOG554"/>
      <c r="EOH554"/>
      <c r="EOI554"/>
      <c r="EOJ554"/>
      <c r="EOK554"/>
      <c r="EOL554"/>
      <c r="EOM554"/>
      <c r="EON554"/>
      <c r="EOO554"/>
      <c r="EOP554"/>
      <c r="EOQ554"/>
      <c r="EOR554"/>
      <c r="EOS554"/>
      <c r="EOT554"/>
      <c r="EOU554"/>
      <c r="EOV554"/>
      <c r="EOW554"/>
      <c r="EOX554"/>
      <c r="EOY554"/>
      <c r="EOZ554"/>
      <c r="EPA554"/>
      <c r="EPB554"/>
      <c r="EPC554"/>
      <c r="EPD554"/>
      <c r="EPE554"/>
      <c r="EPF554"/>
      <c r="EPG554"/>
      <c r="EPH554"/>
      <c r="EPI554"/>
      <c r="EPJ554"/>
      <c r="EPK554"/>
      <c r="EPL554"/>
      <c r="EPM554"/>
      <c r="EPN554"/>
      <c r="EPO554"/>
      <c r="EPP554"/>
      <c r="EPQ554"/>
      <c r="EPR554"/>
      <c r="EPS554"/>
      <c r="EPT554"/>
      <c r="EPU554"/>
      <c r="EPV554"/>
      <c r="EPW554"/>
      <c r="EPX554"/>
      <c r="EPY554"/>
      <c r="EPZ554"/>
      <c r="EQA554"/>
      <c r="EQB554"/>
      <c r="EQC554"/>
      <c r="EQD554"/>
      <c r="EQE554"/>
      <c r="EQF554"/>
      <c r="EQG554"/>
      <c r="EQH554"/>
      <c r="EQI554"/>
      <c r="EQJ554"/>
      <c r="EQK554"/>
      <c r="EQL554"/>
      <c r="EQM554"/>
      <c r="EQN554"/>
      <c r="EQO554"/>
      <c r="EQP554"/>
      <c r="EQQ554"/>
      <c r="EQR554"/>
      <c r="EQS554"/>
      <c r="EQT554"/>
      <c r="EQU554"/>
      <c r="EQV554"/>
      <c r="EQW554"/>
      <c r="EQX554"/>
      <c r="EQY554"/>
      <c r="EQZ554"/>
      <c r="ERA554"/>
      <c r="ERB554"/>
      <c r="ERC554"/>
      <c r="ERD554"/>
      <c r="ERE554"/>
      <c r="ERF554"/>
      <c r="ERG554"/>
      <c r="ERH554"/>
      <c r="ERI554"/>
      <c r="ERJ554"/>
      <c r="ERK554"/>
      <c r="ERL554"/>
      <c r="ERM554"/>
      <c r="ERN554"/>
      <c r="ERO554"/>
      <c r="ERP554"/>
      <c r="ERQ554"/>
      <c r="ERR554"/>
      <c r="ERS554"/>
      <c r="ERT554"/>
      <c r="ERU554"/>
      <c r="ERV554"/>
      <c r="ERW554"/>
      <c r="ERX554"/>
      <c r="ERY554"/>
      <c r="ERZ554"/>
      <c r="ESA554"/>
      <c r="ESB554"/>
      <c r="ESC554"/>
      <c r="ESD554"/>
      <c r="ESE554"/>
      <c r="ESF554"/>
      <c r="ESG554"/>
      <c r="ESH554"/>
      <c r="ESI554"/>
      <c r="ESJ554"/>
      <c r="ESK554"/>
      <c r="ESL554"/>
      <c r="ESM554"/>
      <c r="ESN554"/>
      <c r="ESO554"/>
      <c r="ESP554"/>
      <c r="ESQ554"/>
      <c r="ESR554"/>
      <c r="ESS554"/>
      <c r="EST554"/>
      <c r="ESU554"/>
      <c r="ESV554"/>
      <c r="ESW554"/>
      <c r="ESX554"/>
      <c r="ESY554"/>
      <c r="ESZ554"/>
      <c r="ETA554"/>
      <c r="ETB554"/>
      <c r="ETC554"/>
      <c r="ETD554"/>
      <c r="ETE554"/>
      <c r="ETF554"/>
      <c r="ETG554"/>
      <c r="ETH554"/>
      <c r="ETI554"/>
      <c r="ETJ554"/>
      <c r="ETK554"/>
      <c r="ETL554"/>
      <c r="ETM554"/>
      <c r="ETN554"/>
      <c r="ETO554"/>
      <c r="ETP554"/>
      <c r="ETQ554"/>
      <c r="ETR554"/>
      <c r="ETS554"/>
      <c r="ETT554"/>
      <c r="ETU554"/>
      <c r="ETV554"/>
      <c r="ETW554"/>
      <c r="ETX554"/>
      <c r="ETY554"/>
      <c r="ETZ554"/>
      <c r="EUA554"/>
      <c r="EUB554"/>
      <c r="EUC554"/>
      <c r="EUD554"/>
      <c r="EUE554"/>
      <c r="EUF554"/>
      <c r="EUG554"/>
      <c r="EUH554"/>
      <c r="EUI554"/>
      <c r="EUJ554"/>
      <c r="EUK554"/>
      <c r="EUL554"/>
      <c r="EUM554"/>
      <c r="EUN554"/>
      <c r="EUO554"/>
      <c r="EUP554"/>
      <c r="EUQ554"/>
      <c r="EUR554"/>
      <c r="EUS554"/>
      <c r="EUT554"/>
      <c r="EUU554"/>
      <c r="EUV554"/>
      <c r="EUW554"/>
      <c r="EUX554"/>
      <c r="EUY554"/>
      <c r="EUZ554"/>
      <c r="EVA554"/>
      <c r="EVB554"/>
      <c r="EVC554"/>
      <c r="EVD554"/>
      <c r="EVE554"/>
      <c r="EVF554"/>
      <c r="EVG554"/>
      <c r="EVH554"/>
      <c r="EVI554"/>
      <c r="EVJ554"/>
      <c r="EVK554"/>
      <c r="EVL554"/>
      <c r="EVM554"/>
      <c r="EVN554"/>
      <c r="EVO554"/>
      <c r="EVP554"/>
      <c r="EVQ554"/>
      <c r="EVR554"/>
      <c r="EVS554"/>
      <c r="EVT554"/>
      <c r="EVU554"/>
      <c r="EVV554"/>
      <c r="EVW554"/>
      <c r="EVX554"/>
      <c r="EVY554"/>
      <c r="EVZ554"/>
      <c r="EWA554"/>
      <c r="EWB554"/>
      <c r="EWC554"/>
      <c r="EWD554"/>
      <c r="EWE554"/>
      <c r="EWF554"/>
      <c r="EWG554"/>
      <c r="EWH554"/>
      <c r="EWI554"/>
      <c r="EWJ554"/>
      <c r="EWK554"/>
      <c r="EWL554"/>
      <c r="EWM554"/>
      <c r="EWN554"/>
      <c r="EWO554"/>
      <c r="EWP554"/>
      <c r="EWQ554"/>
      <c r="EWR554"/>
      <c r="EWS554"/>
      <c r="EWT554"/>
      <c r="EWU554"/>
      <c r="EWV554"/>
      <c r="EWW554"/>
      <c r="EWX554"/>
      <c r="EWY554"/>
      <c r="EWZ554"/>
      <c r="EXA554"/>
      <c r="EXB554"/>
      <c r="EXC554"/>
      <c r="EXD554"/>
      <c r="EXE554"/>
      <c r="EXF554"/>
      <c r="EXG554"/>
      <c r="EXH554"/>
      <c r="EXI554"/>
      <c r="EXJ554"/>
      <c r="EXK554"/>
      <c r="EXL554"/>
      <c r="EXM554"/>
      <c r="EXN554"/>
      <c r="EXO554"/>
      <c r="EXP554"/>
      <c r="EXQ554"/>
      <c r="EXR554"/>
      <c r="EXS554"/>
      <c r="EXT554"/>
      <c r="EXU554"/>
      <c r="EXV554"/>
      <c r="EXW554"/>
      <c r="EXX554"/>
      <c r="EXY554"/>
      <c r="EXZ554"/>
      <c r="EYA554"/>
      <c r="EYB554"/>
      <c r="EYC554"/>
      <c r="EYD554"/>
      <c r="EYE554"/>
      <c r="EYF554"/>
      <c r="EYG554"/>
      <c r="EYH554"/>
      <c r="EYI554"/>
      <c r="EYJ554"/>
      <c r="EYK554"/>
      <c r="EYL554"/>
      <c r="EYM554"/>
      <c r="EYN554"/>
      <c r="EYO554"/>
      <c r="EYP554"/>
      <c r="EYQ554"/>
      <c r="EYR554"/>
      <c r="EYS554"/>
      <c r="EYT554"/>
      <c r="EYU554"/>
      <c r="EYV554"/>
      <c r="EYW554"/>
      <c r="EYX554"/>
      <c r="EYY554"/>
      <c r="EYZ554"/>
      <c r="EZA554"/>
      <c r="EZB554"/>
      <c r="EZC554"/>
      <c r="EZD554"/>
      <c r="EZE554"/>
      <c r="EZF554"/>
      <c r="EZG554"/>
      <c r="EZH554"/>
      <c r="EZI554"/>
      <c r="EZJ554"/>
      <c r="EZK554"/>
      <c r="EZL554"/>
      <c r="EZM554"/>
      <c r="EZN554"/>
      <c r="EZO554"/>
      <c r="EZP554"/>
      <c r="EZQ554"/>
      <c r="EZR554"/>
      <c r="EZS554"/>
      <c r="EZT554"/>
      <c r="EZU554"/>
      <c r="EZV554"/>
      <c r="EZW554"/>
      <c r="EZX554"/>
      <c r="EZY554"/>
      <c r="EZZ554"/>
      <c r="FAA554"/>
      <c r="FAB554"/>
      <c r="FAC554"/>
      <c r="FAD554"/>
      <c r="FAE554"/>
      <c r="FAF554"/>
      <c r="FAG554"/>
      <c r="FAH554"/>
      <c r="FAI554"/>
      <c r="FAJ554"/>
      <c r="FAK554"/>
      <c r="FAL554"/>
      <c r="FAM554"/>
      <c r="FAN554"/>
      <c r="FAO554"/>
      <c r="FAP554"/>
      <c r="FAQ554"/>
      <c r="FAR554"/>
      <c r="FAS554"/>
      <c r="FAT554"/>
      <c r="FAU554"/>
      <c r="FAV554"/>
      <c r="FAW554"/>
      <c r="FAX554"/>
      <c r="FAY554"/>
      <c r="FAZ554"/>
      <c r="FBA554"/>
      <c r="FBB554"/>
      <c r="FBC554"/>
      <c r="FBD554"/>
      <c r="FBE554"/>
      <c r="FBF554"/>
      <c r="FBG554"/>
      <c r="FBH554"/>
      <c r="FBI554"/>
      <c r="FBJ554"/>
      <c r="FBK554"/>
      <c r="FBL554"/>
      <c r="FBM554"/>
      <c r="FBN554"/>
      <c r="FBO554"/>
      <c r="FBP554"/>
      <c r="FBQ554"/>
      <c r="FBR554"/>
      <c r="FBS554"/>
      <c r="FBT554"/>
      <c r="FBU554"/>
      <c r="FBV554"/>
      <c r="FBW554"/>
      <c r="FBX554"/>
      <c r="FBY554"/>
      <c r="FBZ554"/>
      <c r="FCA554"/>
      <c r="FCB554"/>
      <c r="FCC554"/>
      <c r="FCD554"/>
      <c r="FCE554"/>
      <c r="FCF554"/>
      <c r="FCG554"/>
      <c r="FCH554"/>
      <c r="FCI554"/>
      <c r="FCJ554"/>
      <c r="FCK554"/>
      <c r="FCL554"/>
      <c r="FCM554"/>
      <c r="FCN554"/>
      <c r="FCO554"/>
      <c r="FCP554"/>
      <c r="FCQ554"/>
      <c r="FCR554"/>
      <c r="FCS554"/>
      <c r="FCT554"/>
      <c r="FCU554"/>
      <c r="FCV554"/>
      <c r="FCW554"/>
      <c r="FCX554"/>
      <c r="FCY554"/>
      <c r="FCZ554"/>
      <c r="FDA554"/>
      <c r="FDB554"/>
      <c r="FDC554"/>
      <c r="FDD554"/>
      <c r="FDE554"/>
      <c r="FDF554"/>
      <c r="FDG554"/>
      <c r="FDH554"/>
      <c r="FDI554"/>
      <c r="FDJ554"/>
      <c r="FDK554"/>
      <c r="FDL554"/>
      <c r="FDM554"/>
      <c r="FDN554"/>
      <c r="FDO554"/>
      <c r="FDP554"/>
      <c r="FDQ554"/>
      <c r="FDR554"/>
      <c r="FDS554"/>
      <c r="FDT554"/>
      <c r="FDU554"/>
      <c r="FDV554"/>
      <c r="FDW554"/>
      <c r="FDX554"/>
      <c r="FDY554"/>
      <c r="FDZ554"/>
      <c r="FEA554"/>
      <c r="FEB554"/>
      <c r="FEC554"/>
      <c r="FED554"/>
      <c r="FEE554"/>
      <c r="FEF554"/>
      <c r="FEG554"/>
      <c r="FEH554"/>
      <c r="FEI554"/>
      <c r="FEJ554"/>
      <c r="FEK554"/>
      <c r="FEL554"/>
      <c r="FEM554"/>
      <c r="FEN554"/>
      <c r="FEO554"/>
      <c r="FEP554"/>
      <c r="FEQ554"/>
      <c r="FER554"/>
      <c r="FES554"/>
      <c r="FET554"/>
      <c r="FEU554"/>
      <c r="FEV554"/>
      <c r="FEW554"/>
      <c r="FEX554"/>
      <c r="FEY554"/>
      <c r="FEZ554"/>
      <c r="FFA554"/>
      <c r="FFB554"/>
      <c r="FFC554"/>
      <c r="FFD554"/>
      <c r="FFE554"/>
      <c r="FFF554"/>
      <c r="FFG554"/>
      <c r="FFH554"/>
      <c r="FFI554"/>
      <c r="FFJ554"/>
      <c r="FFK554"/>
      <c r="FFL554"/>
      <c r="FFM554"/>
      <c r="FFN554"/>
      <c r="FFO554"/>
      <c r="FFP554"/>
      <c r="FFQ554"/>
      <c r="FFR554"/>
      <c r="FFS554"/>
      <c r="FFT554"/>
      <c r="FFU554"/>
      <c r="FFV554"/>
      <c r="FFW554"/>
      <c r="FFX554"/>
      <c r="FFY554"/>
      <c r="FFZ554"/>
      <c r="FGA554"/>
      <c r="FGB554"/>
      <c r="FGC554"/>
      <c r="FGD554"/>
      <c r="FGE554"/>
      <c r="FGF554"/>
      <c r="FGG554"/>
      <c r="FGH554"/>
      <c r="FGI554"/>
      <c r="FGJ554"/>
      <c r="FGK554"/>
      <c r="FGL554"/>
      <c r="FGM554"/>
      <c r="FGN554"/>
      <c r="FGO554"/>
      <c r="FGP554"/>
      <c r="FGQ554"/>
      <c r="FGR554"/>
      <c r="FGS554"/>
      <c r="FGT554"/>
      <c r="FGU554"/>
      <c r="FGV554"/>
      <c r="FGW554"/>
      <c r="FGX554"/>
      <c r="FGY554"/>
      <c r="FGZ554"/>
      <c r="FHA554"/>
      <c r="FHB554"/>
      <c r="FHC554"/>
      <c r="FHD554"/>
      <c r="FHE554"/>
      <c r="FHF554"/>
      <c r="FHG554"/>
      <c r="FHH554"/>
      <c r="FHI554"/>
      <c r="FHJ554"/>
      <c r="FHK554"/>
      <c r="FHL554"/>
      <c r="FHM554"/>
      <c r="FHN554"/>
      <c r="FHO554"/>
      <c r="FHP554"/>
      <c r="FHQ554"/>
      <c r="FHR554"/>
      <c r="FHS554"/>
      <c r="FHT554"/>
      <c r="FHU554"/>
      <c r="FHV554"/>
      <c r="FHW554"/>
      <c r="FHX554"/>
      <c r="FHY554"/>
      <c r="FHZ554"/>
      <c r="FIA554"/>
      <c r="FIB554"/>
      <c r="FIC554"/>
      <c r="FID554"/>
      <c r="FIE554"/>
      <c r="FIF554"/>
      <c r="FIG554"/>
      <c r="FIH554"/>
      <c r="FII554"/>
      <c r="FIJ554"/>
      <c r="FIK554"/>
      <c r="FIL554"/>
      <c r="FIM554"/>
      <c r="FIN554"/>
      <c r="FIO554"/>
      <c r="FIP554"/>
      <c r="FIQ554"/>
      <c r="FIR554"/>
      <c r="FIS554"/>
      <c r="FIT554"/>
      <c r="FIU554"/>
      <c r="FIV554"/>
      <c r="FIW554"/>
      <c r="FIX554"/>
      <c r="FIY554"/>
      <c r="FIZ554"/>
      <c r="FJA554"/>
      <c r="FJB554"/>
      <c r="FJC554"/>
      <c r="FJD554"/>
      <c r="FJE554"/>
      <c r="FJF554"/>
      <c r="FJG554"/>
      <c r="FJH554"/>
      <c r="FJI554"/>
      <c r="FJJ554"/>
      <c r="FJK554"/>
      <c r="FJL554"/>
      <c r="FJM554"/>
      <c r="FJN554"/>
      <c r="FJO554"/>
      <c r="FJP554"/>
      <c r="FJQ554"/>
      <c r="FJR554"/>
      <c r="FJS554"/>
      <c r="FJT554"/>
      <c r="FJU554"/>
      <c r="FJV554"/>
      <c r="FJW554"/>
      <c r="FJX554"/>
      <c r="FJY554"/>
      <c r="FJZ554"/>
      <c r="FKA554"/>
      <c r="FKB554"/>
      <c r="FKC554"/>
      <c r="FKD554"/>
      <c r="FKE554"/>
      <c r="FKF554"/>
      <c r="FKG554"/>
      <c r="FKH554"/>
      <c r="FKI554"/>
      <c r="FKJ554"/>
      <c r="FKK554"/>
      <c r="FKL554"/>
      <c r="FKM554"/>
      <c r="FKN554"/>
      <c r="FKO554"/>
      <c r="FKP554"/>
      <c r="FKQ554"/>
      <c r="FKR554"/>
      <c r="FKS554"/>
      <c r="FKT554"/>
      <c r="FKU554"/>
      <c r="FKV554"/>
      <c r="FKW554"/>
      <c r="FKX554"/>
      <c r="FKY554"/>
      <c r="FKZ554"/>
      <c r="FLA554"/>
      <c r="FLB554"/>
      <c r="FLC554"/>
      <c r="FLD554"/>
      <c r="FLE554"/>
      <c r="FLF554"/>
      <c r="FLG554"/>
      <c r="FLH554"/>
      <c r="FLI554"/>
      <c r="FLJ554"/>
      <c r="FLK554"/>
      <c r="FLL554"/>
      <c r="FLM554"/>
      <c r="FLN554"/>
      <c r="FLO554"/>
      <c r="FLP554"/>
      <c r="FLQ554"/>
      <c r="FLR554"/>
      <c r="FLS554"/>
      <c r="FLT554"/>
      <c r="FLU554"/>
      <c r="FLV554"/>
      <c r="FLW554"/>
      <c r="FLX554"/>
      <c r="FLY554"/>
      <c r="FLZ554"/>
      <c r="FMA554"/>
      <c r="FMB554"/>
      <c r="FMC554"/>
      <c r="FMD554"/>
      <c r="FME554"/>
      <c r="FMF554"/>
      <c r="FMG554"/>
      <c r="FMH554"/>
      <c r="FMI554"/>
      <c r="FMJ554"/>
      <c r="FMK554"/>
      <c r="FML554"/>
      <c r="FMM554"/>
      <c r="FMN554"/>
      <c r="FMO554"/>
      <c r="FMP554"/>
      <c r="FMQ554"/>
      <c r="FMR554"/>
      <c r="FMS554"/>
      <c r="FMT554"/>
      <c r="FMU554"/>
      <c r="FMV554"/>
      <c r="FMW554"/>
      <c r="FMX554"/>
      <c r="FMY554"/>
      <c r="FMZ554"/>
      <c r="FNA554"/>
      <c r="FNB554"/>
      <c r="FNC554"/>
      <c r="FND554"/>
      <c r="FNE554"/>
      <c r="FNF554"/>
      <c r="FNG554"/>
      <c r="FNH554"/>
      <c r="FNI554"/>
      <c r="FNJ554"/>
      <c r="FNK554"/>
      <c r="FNL554"/>
      <c r="FNM554"/>
      <c r="FNN554"/>
      <c r="FNO554"/>
      <c r="FNP554"/>
      <c r="FNQ554"/>
      <c r="FNR554"/>
      <c r="FNS554"/>
      <c r="FNT554"/>
      <c r="FNU554"/>
      <c r="FNV554"/>
      <c r="FNW554"/>
      <c r="FNX554"/>
      <c r="FNY554"/>
      <c r="FNZ554"/>
      <c r="FOA554"/>
      <c r="FOB554"/>
      <c r="FOC554"/>
      <c r="FOD554"/>
      <c r="FOE554"/>
      <c r="FOF554"/>
      <c r="FOG554"/>
      <c r="FOH554"/>
      <c r="FOI554"/>
      <c r="FOJ554"/>
      <c r="FOK554"/>
      <c r="FOL554"/>
      <c r="FOM554"/>
      <c r="FON554"/>
      <c r="FOO554"/>
      <c r="FOP554"/>
      <c r="FOQ554"/>
      <c r="FOR554"/>
      <c r="FOS554"/>
      <c r="FOT554"/>
      <c r="FOU554"/>
      <c r="FOV554"/>
      <c r="FOW554"/>
      <c r="FOX554"/>
      <c r="FOY554"/>
      <c r="FOZ554"/>
      <c r="FPA554"/>
      <c r="FPB554"/>
      <c r="FPC554"/>
      <c r="FPD554"/>
      <c r="FPE554"/>
      <c r="FPF554"/>
      <c r="FPG554"/>
      <c r="FPH554"/>
      <c r="FPI554"/>
      <c r="FPJ554"/>
      <c r="FPK554"/>
      <c r="FPL554"/>
      <c r="FPM554"/>
      <c r="FPN554"/>
      <c r="FPO554"/>
      <c r="FPP554"/>
      <c r="FPQ554"/>
      <c r="FPR554"/>
      <c r="FPS554"/>
      <c r="FPT554"/>
      <c r="FPU554"/>
      <c r="FPV554"/>
      <c r="FPW554"/>
      <c r="FPX554"/>
      <c r="FPY554"/>
      <c r="FPZ554"/>
      <c r="FQA554"/>
      <c r="FQB554"/>
      <c r="FQC554"/>
      <c r="FQD554"/>
      <c r="FQE554"/>
      <c r="FQF554"/>
      <c r="FQG554"/>
      <c r="FQH554"/>
      <c r="FQI554"/>
      <c r="FQJ554"/>
      <c r="FQK554"/>
      <c r="FQL554"/>
      <c r="FQM554"/>
      <c r="FQN554"/>
      <c r="FQO554"/>
      <c r="FQP554"/>
      <c r="FQQ554"/>
      <c r="FQR554"/>
      <c r="FQS554"/>
      <c r="FQT554"/>
      <c r="FQU554"/>
      <c r="FQV554"/>
      <c r="FQW554"/>
      <c r="FQX554"/>
      <c r="FQY554"/>
      <c r="FQZ554"/>
      <c r="FRA554"/>
      <c r="FRB554"/>
      <c r="FRC554"/>
      <c r="FRD554"/>
      <c r="FRE554"/>
      <c r="FRF554"/>
      <c r="FRG554"/>
      <c r="FRH554"/>
      <c r="FRI554"/>
      <c r="FRJ554"/>
      <c r="FRK554"/>
      <c r="FRL554"/>
      <c r="FRM554"/>
      <c r="FRN554"/>
      <c r="FRO554"/>
      <c r="FRP554"/>
      <c r="FRQ554"/>
      <c r="FRR554"/>
      <c r="FRS554"/>
      <c r="FRT554"/>
      <c r="FRU554"/>
      <c r="FRV554"/>
      <c r="FRW554"/>
      <c r="FRX554"/>
      <c r="FRY554"/>
      <c r="FRZ554"/>
      <c r="FSA554"/>
      <c r="FSB554"/>
      <c r="FSC554"/>
      <c r="FSD554"/>
      <c r="FSE554"/>
      <c r="FSF554"/>
      <c r="FSG554"/>
      <c r="FSH554"/>
      <c r="FSI554"/>
      <c r="FSJ554"/>
      <c r="FSK554"/>
      <c r="FSL554"/>
      <c r="FSM554"/>
      <c r="FSN554"/>
      <c r="FSO554"/>
      <c r="FSP554"/>
      <c r="FSQ554"/>
      <c r="FSR554"/>
      <c r="FSS554"/>
      <c r="FST554"/>
      <c r="FSU554"/>
      <c r="FSV554"/>
      <c r="FSW554"/>
      <c r="FSX554"/>
      <c r="FSY554"/>
      <c r="FSZ554"/>
      <c r="FTA554"/>
      <c r="FTB554"/>
      <c r="FTC554"/>
      <c r="FTD554"/>
      <c r="FTE554"/>
      <c r="FTF554"/>
      <c r="FTG554"/>
      <c r="FTH554"/>
      <c r="FTI554"/>
      <c r="FTJ554"/>
      <c r="FTK554"/>
      <c r="FTL554"/>
      <c r="FTM554"/>
      <c r="FTN554"/>
      <c r="FTO554"/>
      <c r="FTP554"/>
      <c r="FTQ554"/>
      <c r="FTR554"/>
      <c r="FTS554"/>
      <c r="FTT554"/>
      <c r="FTU554"/>
      <c r="FTV554"/>
      <c r="FTW554"/>
      <c r="FTX554"/>
      <c r="FTY554"/>
      <c r="FTZ554"/>
      <c r="FUA554"/>
      <c r="FUB554"/>
      <c r="FUC554"/>
      <c r="FUD554"/>
      <c r="FUE554"/>
      <c r="FUF554"/>
      <c r="FUG554"/>
      <c r="FUH554"/>
      <c r="FUI554"/>
      <c r="FUJ554"/>
      <c r="FUK554"/>
      <c r="FUL554"/>
      <c r="FUM554"/>
      <c r="FUN554"/>
      <c r="FUO554"/>
      <c r="FUP554"/>
      <c r="FUQ554"/>
      <c r="FUR554"/>
      <c r="FUS554"/>
      <c r="FUT554"/>
      <c r="FUU554"/>
      <c r="FUV554"/>
      <c r="FUW554"/>
      <c r="FUX554"/>
      <c r="FUY554"/>
      <c r="FUZ554"/>
      <c r="FVA554"/>
      <c r="FVB554"/>
      <c r="FVC554"/>
      <c r="FVD554"/>
      <c r="FVE554"/>
      <c r="FVF554"/>
      <c r="FVG554"/>
      <c r="FVH554"/>
      <c r="FVI554"/>
      <c r="FVJ554"/>
      <c r="FVK554"/>
      <c r="FVL554"/>
      <c r="FVM554"/>
      <c r="FVN554"/>
      <c r="FVO554"/>
      <c r="FVP554"/>
      <c r="FVQ554"/>
      <c r="FVR554"/>
      <c r="FVS554"/>
      <c r="FVT554"/>
      <c r="FVU554"/>
      <c r="FVV554"/>
      <c r="FVW554"/>
      <c r="FVX554"/>
      <c r="FVY554"/>
      <c r="FVZ554"/>
      <c r="FWA554"/>
      <c r="FWB554"/>
      <c r="FWC554"/>
      <c r="FWD554"/>
      <c r="FWE554"/>
      <c r="FWF554"/>
      <c r="FWG554"/>
      <c r="FWH554"/>
      <c r="FWI554"/>
      <c r="FWJ554"/>
      <c r="FWK554"/>
      <c r="FWL554"/>
      <c r="FWM554"/>
      <c r="FWN554"/>
      <c r="FWO554"/>
      <c r="FWP554"/>
      <c r="FWQ554"/>
      <c r="FWR554"/>
      <c r="FWS554"/>
      <c r="FWT554"/>
      <c r="FWU554"/>
      <c r="FWV554"/>
      <c r="FWW554"/>
      <c r="FWX554"/>
      <c r="FWY554"/>
      <c r="FWZ554"/>
      <c r="FXA554"/>
      <c r="FXB554"/>
      <c r="FXC554"/>
      <c r="FXD554"/>
      <c r="FXE554"/>
      <c r="FXF554"/>
      <c r="FXG554"/>
      <c r="FXH554"/>
      <c r="FXI554"/>
      <c r="FXJ554"/>
      <c r="FXK554"/>
      <c r="FXL554"/>
      <c r="FXM554"/>
      <c r="FXN554"/>
      <c r="FXO554"/>
      <c r="FXP554"/>
      <c r="FXQ554"/>
      <c r="FXR554"/>
      <c r="FXS554"/>
      <c r="FXT554"/>
      <c r="FXU554"/>
      <c r="FXV554"/>
      <c r="FXW554"/>
      <c r="FXX554"/>
      <c r="FXY554"/>
      <c r="FXZ554"/>
      <c r="FYA554"/>
      <c r="FYB554"/>
      <c r="FYC554"/>
      <c r="FYD554"/>
      <c r="FYE554"/>
      <c r="FYF554"/>
      <c r="FYG554"/>
      <c r="FYH554"/>
      <c r="FYI554"/>
      <c r="FYJ554"/>
      <c r="FYK554"/>
      <c r="FYL554"/>
      <c r="FYM554"/>
      <c r="FYN554"/>
      <c r="FYO554"/>
      <c r="FYP554"/>
      <c r="FYQ554"/>
      <c r="FYR554"/>
      <c r="FYS554"/>
      <c r="FYT554"/>
      <c r="FYU554"/>
      <c r="FYV554"/>
      <c r="FYW554"/>
      <c r="FYX554"/>
      <c r="FYY554"/>
      <c r="FYZ554"/>
      <c r="FZA554"/>
      <c r="FZB554"/>
      <c r="FZC554"/>
      <c r="FZD554"/>
      <c r="FZE554"/>
      <c r="FZF554"/>
      <c r="FZG554"/>
      <c r="FZH554"/>
      <c r="FZI554"/>
      <c r="FZJ554"/>
      <c r="FZK554"/>
      <c r="FZL554"/>
      <c r="FZM554"/>
      <c r="FZN554"/>
      <c r="FZO554"/>
      <c r="FZP554"/>
      <c r="FZQ554"/>
      <c r="FZR554"/>
      <c r="FZS554"/>
      <c r="FZT554"/>
      <c r="FZU554"/>
      <c r="FZV554"/>
      <c r="FZW554"/>
      <c r="FZX554"/>
      <c r="FZY554"/>
      <c r="FZZ554"/>
      <c r="GAA554"/>
      <c r="GAB554"/>
      <c r="GAC554"/>
      <c r="GAD554"/>
      <c r="GAE554"/>
      <c r="GAF554"/>
      <c r="GAG554"/>
      <c r="GAH554"/>
      <c r="GAI554"/>
      <c r="GAJ554"/>
      <c r="GAK554"/>
      <c r="GAL554"/>
      <c r="GAM554"/>
      <c r="GAN554"/>
      <c r="GAO554"/>
      <c r="GAP554"/>
      <c r="GAQ554"/>
      <c r="GAR554"/>
      <c r="GAS554"/>
      <c r="GAT554"/>
      <c r="GAU554"/>
      <c r="GAV554"/>
      <c r="GAW554"/>
      <c r="GAX554"/>
      <c r="GAY554"/>
      <c r="GAZ554"/>
      <c r="GBA554"/>
      <c r="GBB554"/>
      <c r="GBC554"/>
      <c r="GBD554"/>
      <c r="GBE554"/>
      <c r="GBF554"/>
      <c r="GBG554"/>
      <c r="GBH554"/>
      <c r="GBI554"/>
      <c r="GBJ554"/>
      <c r="GBK554"/>
      <c r="GBL554"/>
      <c r="GBM554"/>
      <c r="GBN554"/>
      <c r="GBO554"/>
      <c r="GBP554"/>
      <c r="GBQ554"/>
      <c r="GBR554"/>
      <c r="GBS554"/>
      <c r="GBT554"/>
      <c r="GBU554"/>
      <c r="GBV554"/>
      <c r="GBW554"/>
      <c r="GBX554"/>
      <c r="GBY554"/>
      <c r="GBZ554"/>
      <c r="GCA554"/>
      <c r="GCB554"/>
      <c r="GCC554"/>
      <c r="GCD554"/>
      <c r="GCE554"/>
      <c r="GCF554"/>
      <c r="GCG554"/>
      <c r="GCH554"/>
      <c r="GCI554"/>
      <c r="GCJ554"/>
      <c r="GCK554"/>
      <c r="GCL554"/>
      <c r="GCM554"/>
      <c r="GCN554"/>
      <c r="GCO554"/>
      <c r="GCP554"/>
      <c r="GCQ554"/>
      <c r="GCR554"/>
      <c r="GCS554"/>
      <c r="GCT554"/>
      <c r="GCU554"/>
      <c r="GCV554"/>
      <c r="GCW554"/>
      <c r="GCX554"/>
      <c r="GCY554"/>
      <c r="GCZ554"/>
      <c r="GDA554"/>
      <c r="GDB554"/>
      <c r="GDC554"/>
      <c r="GDD554"/>
      <c r="GDE554"/>
      <c r="GDF554"/>
      <c r="GDG554"/>
      <c r="GDH554"/>
      <c r="GDI554"/>
      <c r="GDJ554"/>
      <c r="GDK554"/>
      <c r="GDL554"/>
      <c r="GDM554"/>
      <c r="GDN554"/>
      <c r="GDO554"/>
      <c r="GDP554"/>
      <c r="GDQ554"/>
      <c r="GDR554"/>
      <c r="GDS554"/>
      <c r="GDT554"/>
      <c r="GDU554"/>
      <c r="GDV554"/>
      <c r="GDW554"/>
      <c r="GDX554"/>
      <c r="GDY554"/>
      <c r="GDZ554"/>
      <c r="GEA554"/>
      <c r="GEB554"/>
      <c r="GEC554"/>
      <c r="GED554"/>
      <c r="GEE554"/>
      <c r="GEF554"/>
      <c r="GEG554"/>
      <c r="GEH554"/>
      <c r="GEI554"/>
      <c r="GEJ554"/>
      <c r="GEK554"/>
      <c r="GEL554"/>
      <c r="GEM554"/>
      <c r="GEN554"/>
      <c r="GEO554"/>
      <c r="GEP554"/>
      <c r="GEQ554"/>
      <c r="GER554"/>
      <c r="GES554"/>
      <c r="GET554"/>
      <c r="GEU554"/>
      <c r="GEV554"/>
      <c r="GEW554"/>
      <c r="GEX554"/>
      <c r="GEY554"/>
      <c r="GEZ554"/>
      <c r="GFA554"/>
      <c r="GFB554"/>
      <c r="GFC554"/>
      <c r="GFD554"/>
      <c r="GFE554"/>
      <c r="GFF554"/>
      <c r="GFG554"/>
      <c r="GFH554"/>
      <c r="GFI554"/>
      <c r="GFJ554"/>
      <c r="GFK554"/>
      <c r="GFL554"/>
      <c r="GFM554"/>
      <c r="GFN554"/>
      <c r="GFO554"/>
      <c r="GFP554"/>
      <c r="GFQ554"/>
      <c r="GFR554"/>
      <c r="GFS554"/>
      <c r="GFT554"/>
      <c r="GFU554"/>
      <c r="GFV554"/>
      <c r="GFW554"/>
      <c r="GFX554"/>
      <c r="GFY554"/>
      <c r="GFZ554"/>
      <c r="GGA554"/>
      <c r="GGB554"/>
      <c r="GGC554"/>
      <c r="GGD554"/>
      <c r="GGE554"/>
      <c r="GGF554"/>
      <c r="GGG554"/>
      <c r="GGH554"/>
      <c r="GGI554"/>
      <c r="GGJ554"/>
      <c r="GGK554"/>
      <c r="GGL554"/>
      <c r="GGM554"/>
      <c r="GGN554"/>
      <c r="GGO554"/>
      <c r="GGP554"/>
      <c r="GGQ554"/>
      <c r="GGR554"/>
      <c r="GGS554"/>
      <c r="GGT554"/>
      <c r="GGU554"/>
      <c r="GGV554"/>
      <c r="GGW554"/>
      <c r="GGX554"/>
      <c r="GGY554"/>
      <c r="GGZ554"/>
      <c r="GHA554"/>
      <c r="GHB554"/>
      <c r="GHC554"/>
      <c r="GHD554"/>
      <c r="GHE554"/>
      <c r="GHF554"/>
      <c r="GHG554"/>
      <c r="GHH554"/>
      <c r="GHI554"/>
      <c r="GHJ554"/>
      <c r="GHK554"/>
      <c r="GHL554"/>
      <c r="GHM554"/>
      <c r="GHN554"/>
      <c r="GHO554"/>
      <c r="GHP554"/>
      <c r="GHQ554"/>
      <c r="GHR554"/>
      <c r="GHS554"/>
      <c r="GHT554"/>
      <c r="GHU554"/>
      <c r="GHV554"/>
      <c r="GHW554"/>
      <c r="GHX554"/>
      <c r="GHY554"/>
      <c r="GHZ554"/>
      <c r="GIA554"/>
      <c r="GIB554"/>
      <c r="GIC554"/>
      <c r="GID554"/>
      <c r="GIE554"/>
      <c r="GIF554"/>
      <c r="GIG554"/>
      <c r="GIH554"/>
      <c r="GII554"/>
      <c r="GIJ554"/>
      <c r="GIK554"/>
      <c r="GIL554"/>
      <c r="GIM554"/>
      <c r="GIN554"/>
      <c r="GIO554"/>
      <c r="GIP554"/>
      <c r="GIQ554"/>
      <c r="GIR554"/>
      <c r="GIS554"/>
      <c r="GIT554"/>
      <c r="GIU554"/>
      <c r="GIV554"/>
      <c r="GIW554"/>
      <c r="GIX554"/>
      <c r="GIY554"/>
      <c r="GIZ554"/>
      <c r="GJA554"/>
      <c r="GJB554"/>
      <c r="GJC554"/>
      <c r="GJD554"/>
      <c r="GJE554"/>
      <c r="GJF554"/>
      <c r="GJG554"/>
      <c r="GJH554"/>
      <c r="GJI554"/>
      <c r="GJJ554"/>
      <c r="GJK554"/>
      <c r="GJL554"/>
      <c r="GJM554"/>
      <c r="GJN554"/>
      <c r="GJO554"/>
      <c r="GJP554"/>
      <c r="GJQ554"/>
      <c r="GJR554"/>
      <c r="GJS554"/>
      <c r="GJT554"/>
      <c r="GJU554"/>
      <c r="GJV554"/>
      <c r="GJW554"/>
      <c r="GJX554"/>
      <c r="GJY554"/>
      <c r="GJZ554"/>
      <c r="GKA554"/>
      <c r="GKB554"/>
      <c r="GKC554"/>
      <c r="GKD554"/>
      <c r="GKE554"/>
      <c r="GKF554"/>
      <c r="GKG554"/>
      <c r="GKH554"/>
      <c r="GKI554"/>
      <c r="GKJ554"/>
      <c r="GKK554"/>
      <c r="GKL554"/>
      <c r="GKM554"/>
      <c r="GKN554"/>
      <c r="GKO554"/>
      <c r="GKP554"/>
      <c r="GKQ554"/>
      <c r="GKR554"/>
      <c r="GKS554"/>
      <c r="GKT554"/>
      <c r="GKU554"/>
      <c r="GKV554"/>
      <c r="GKW554"/>
      <c r="GKX554"/>
      <c r="GKY554"/>
      <c r="GKZ554"/>
      <c r="GLA554"/>
      <c r="GLB554"/>
      <c r="GLC554"/>
      <c r="GLD554"/>
      <c r="GLE554"/>
      <c r="GLF554"/>
      <c r="GLG554"/>
      <c r="GLH554"/>
      <c r="GLI554"/>
      <c r="GLJ554"/>
      <c r="GLK554"/>
      <c r="GLL554"/>
      <c r="GLM554"/>
      <c r="GLN554"/>
      <c r="GLO554"/>
      <c r="GLP554"/>
      <c r="GLQ554"/>
      <c r="GLR554"/>
      <c r="GLS554"/>
      <c r="GLT554"/>
      <c r="GLU554"/>
      <c r="GLV554"/>
      <c r="GLW554"/>
      <c r="GLX554"/>
      <c r="GLY554"/>
      <c r="GLZ554"/>
      <c r="GMA554"/>
      <c r="GMB554"/>
      <c r="GMC554"/>
      <c r="GMD554"/>
      <c r="GME554"/>
      <c r="GMF554"/>
      <c r="GMG554"/>
      <c r="GMH554"/>
      <c r="GMI554"/>
      <c r="GMJ554"/>
      <c r="GMK554"/>
      <c r="GML554"/>
      <c r="GMM554"/>
      <c r="GMN554"/>
      <c r="GMO554"/>
      <c r="GMP554"/>
      <c r="GMQ554"/>
      <c r="GMR554"/>
      <c r="GMS554"/>
      <c r="GMT554"/>
      <c r="GMU554"/>
      <c r="GMV554"/>
      <c r="GMW554"/>
      <c r="GMX554"/>
      <c r="GMY554"/>
      <c r="GMZ554"/>
      <c r="GNA554"/>
      <c r="GNB554"/>
      <c r="GNC554"/>
      <c r="GND554"/>
      <c r="GNE554"/>
      <c r="GNF554"/>
      <c r="GNG554"/>
      <c r="GNH554"/>
      <c r="GNI554"/>
      <c r="GNJ554"/>
      <c r="GNK554"/>
      <c r="GNL554"/>
      <c r="GNM554"/>
      <c r="GNN554"/>
      <c r="GNO554"/>
      <c r="GNP554"/>
      <c r="GNQ554"/>
      <c r="GNR554"/>
      <c r="GNS554"/>
      <c r="GNT554"/>
      <c r="GNU554"/>
      <c r="GNV554"/>
      <c r="GNW554"/>
      <c r="GNX554"/>
      <c r="GNY554"/>
      <c r="GNZ554"/>
      <c r="GOA554"/>
      <c r="GOB554"/>
      <c r="GOC554"/>
      <c r="GOD554"/>
      <c r="GOE554"/>
      <c r="GOF554"/>
      <c r="GOG554"/>
      <c r="GOH554"/>
      <c r="GOI554"/>
      <c r="GOJ554"/>
      <c r="GOK554"/>
      <c r="GOL554"/>
      <c r="GOM554"/>
      <c r="GON554"/>
      <c r="GOO554"/>
      <c r="GOP554"/>
      <c r="GOQ554"/>
      <c r="GOR554"/>
      <c r="GOS554"/>
      <c r="GOT554"/>
      <c r="GOU554"/>
      <c r="GOV554"/>
      <c r="GOW554"/>
      <c r="GOX554"/>
      <c r="GOY554"/>
      <c r="GOZ554"/>
      <c r="GPA554"/>
      <c r="GPB554"/>
      <c r="GPC554"/>
      <c r="GPD554"/>
      <c r="GPE554"/>
      <c r="GPF554"/>
      <c r="GPG554"/>
      <c r="GPH554"/>
      <c r="GPI554"/>
      <c r="GPJ554"/>
      <c r="GPK554"/>
      <c r="GPL554"/>
      <c r="GPM554"/>
      <c r="GPN554"/>
      <c r="GPO554"/>
      <c r="GPP554"/>
      <c r="GPQ554"/>
      <c r="GPR554"/>
      <c r="GPS554"/>
      <c r="GPT554"/>
      <c r="GPU554"/>
      <c r="GPV554"/>
      <c r="GPW554"/>
      <c r="GPX554"/>
      <c r="GPY554"/>
      <c r="GPZ554"/>
      <c r="GQA554"/>
      <c r="GQB554"/>
      <c r="GQC554"/>
      <c r="GQD554"/>
      <c r="GQE554"/>
      <c r="GQF554"/>
      <c r="GQG554"/>
      <c r="GQH554"/>
      <c r="GQI554"/>
      <c r="GQJ554"/>
      <c r="GQK554"/>
      <c r="GQL554"/>
      <c r="GQM554"/>
      <c r="GQN554"/>
      <c r="GQO554"/>
      <c r="GQP554"/>
      <c r="GQQ554"/>
      <c r="GQR554"/>
      <c r="GQS554"/>
      <c r="GQT554"/>
      <c r="GQU554"/>
      <c r="GQV554"/>
      <c r="GQW554"/>
      <c r="GQX554"/>
      <c r="GQY554"/>
      <c r="GQZ554"/>
      <c r="GRA554"/>
      <c r="GRB554"/>
      <c r="GRC554"/>
      <c r="GRD554"/>
      <c r="GRE554"/>
      <c r="GRF554"/>
      <c r="GRG554"/>
      <c r="GRH554"/>
      <c r="GRI554"/>
      <c r="GRJ554"/>
      <c r="GRK554"/>
      <c r="GRL554"/>
      <c r="GRM554"/>
      <c r="GRN554"/>
      <c r="GRO554"/>
      <c r="GRP554"/>
      <c r="GRQ554"/>
      <c r="GRR554"/>
      <c r="GRS554"/>
      <c r="GRT554"/>
      <c r="GRU554"/>
      <c r="GRV554"/>
      <c r="GRW554"/>
      <c r="GRX554"/>
      <c r="GRY554"/>
      <c r="GRZ554"/>
      <c r="GSA554"/>
      <c r="GSB554"/>
      <c r="GSC554"/>
      <c r="GSD554"/>
      <c r="GSE554"/>
      <c r="GSF554"/>
      <c r="GSG554"/>
      <c r="GSH554"/>
      <c r="GSI554"/>
      <c r="GSJ554"/>
      <c r="GSK554"/>
      <c r="GSL554"/>
      <c r="GSM554"/>
      <c r="GSN554"/>
      <c r="GSO554"/>
      <c r="GSP554"/>
      <c r="GSQ554"/>
      <c r="GSR554"/>
      <c r="GSS554"/>
      <c r="GST554"/>
      <c r="GSU554"/>
      <c r="GSV554"/>
      <c r="GSW554"/>
      <c r="GSX554"/>
      <c r="GSY554"/>
      <c r="GSZ554"/>
      <c r="GTA554"/>
      <c r="GTB554"/>
      <c r="GTC554"/>
      <c r="GTD554"/>
      <c r="GTE554"/>
      <c r="GTF554"/>
      <c r="GTG554"/>
      <c r="GTH554"/>
      <c r="GTI554"/>
      <c r="GTJ554"/>
      <c r="GTK554"/>
      <c r="GTL554"/>
      <c r="GTM554"/>
      <c r="GTN554"/>
      <c r="GTO554"/>
      <c r="GTP554"/>
      <c r="GTQ554"/>
      <c r="GTR554"/>
      <c r="GTS554"/>
      <c r="GTT554"/>
      <c r="GTU554"/>
      <c r="GTV554"/>
      <c r="GTW554"/>
      <c r="GTX554"/>
      <c r="GTY554"/>
      <c r="GTZ554"/>
      <c r="GUA554"/>
      <c r="GUB554"/>
      <c r="GUC554"/>
      <c r="GUD554"/>
      <c r="GUE554"/>
      <c r="GUF554"/>
      <c r="GUG554"/>
      <c r="GUH554"/>
      <c r="GUI554"/>
      <c r="GUJ554"/>
      <c r="GUK554"/>
      <c r="GUL554"/>
      <c r="GUM554"/>
      <c r="GUN554"/>
      <c r="GUO554"/>
      <c r="GUP554"/>
      <c r="GUQ554"/>
      <c r="GUR554"/>
      <c r="GUS554"/>
      <c r="GUT554"/>
      <c r="GUU554"/>
      <c r="GUV554"/>
      <c r="GUW554"/>
      <c r="GUX554"/>
      <c r="GUY554"/>
      <c r="GUZ554"/>
      <c r="GVA554"/>
      <c r="GVB554"/>
      <c r="GVC554"/>
      <c r="GVD554"/>
      <c r="GVE554"/>
      <c r="GVF554"/>
      <c r="GVG554"/>
      <c r="GVH554"/>
      <c r="GVI554"/>
      <c r="GVJ554"/>
      <c r="GVK554"/>
      <c r="GVL554"/>
      <c r="GVM554"/>
      <c r="GVN554"/>
      <c r="GVO554"/>
      <c r="GVP554"/>
      <c r="GVQ554"/>
      <c r="GVR554"/>
      <c r="GVS554"/>
      <c r="GVT554"/>
      <c r="GVU554"/>
      <c r="GVV554"/>
      <c r="GVW554"/>
      <c r="GVX554"/>
      <c r="GVY554"/>
      <c r="GVZ554"/>
      <c r="GWA554"/>
      <c r="GWB554"/>
      <c r="GWC554"/>
      <c r="GWD554"/>
      <c r="GWE554"/>
      <c r="GWF554"/>
      <c r="GWG554"/>
      <c r="GWH554"/>
      <c r="GWI554"/>
      <c r="GWJ554"/>
      <c r="GWK554"/>
      <c r="GWL554"/>
      <c r="GWM554"/>
      <c r="GWN554"/>
      <c r="GWO554"/>
      <c r="GWP554"/>
      <c r="GWQ554"/>
      <c r="GWR554"/>
      <c r="GWS554"/>
      <c r="GWT554"/>
      <c r="GWU554"/>
      <c r="GWV554"/>
      <c r="GWW554"/>
      <c r="GWX554"/>
      <c r="GWY554"/>
      <c r="GWZ554"/>
      <c r="GXA554"/>
      <c r="GXB554"/>
      <c r="GXC554"/>
      <c r="GXD554"/>
      <c r="GXE554"/>
      <c r="GXF554"/>
      <c r="GXG554"/>
      <c r="GXH554"/>
      <c r="GXI554"/>
      <c r="GXJ554"/>
      <c r="GXK554"/>
      <c r="GXL554"/>
      <c r="GXM554"/>
      <c r="GXN554"/>
      <c r="GXO554"/>
      <c r="GXP554"/>
      <c r="GXQ554"/>
      <c r="GXR554"/>
      <c r="GXS554"/>
      <c r="GXT554"/>
      <c r="GXU554"/>
      <c r="GXV554"/>
      <c r="GXW554"/>
      <c r="GXX554"/>
      <c r="GXY554"/>
      <c r="GXZ554"/>
      <c r="GYA554"/>
      <c r="GYB554"/>
      <c r="GYC554"/>
      <c r="GYD554"/>
      <c r="GYE554"/>
      <c r="GYF554"/>
      <c r="GYG554"/>
      <c r="GYH554"/>
      <c r="GYI554"/>
      <c r="GYJ554"/>
      <c r="GYK554"/>
      <c r="GYL554"/>
      <c r="GYM554"/>
      <c r="GYN554"/>
      <c r="GYO554"/>
      <c r="GYP554"/>
      <c r="GYQ554"/>
      <c r="GYR554"/>
      <c r="GYS554"/>
      <c r="GYT554"/>
      <c r="GYU554"/>
      <c r="GYV554"/>
      <c r="GYW554"/>
      <c r="GYX554"/>
      <c r="GYY554"/>
      <c r="GYZ554"/>
      <c r="GZA554"/>
      <c r="GZB554"/>
      <c r="GZC554"/>
      <c r="GZD554"/>
      <c r="GZE554"/>
      <c r="GZF554"/>
      <c r="GZG554"/>
      <c r="GZH554"/>
      <c r="GZI554"/>
      <c r="GZJ554"/>
      <c r="GZK554"/>
      <c r="GZL554"/>
      <c r="GZM554"/>
      <c r="GZN554"/>
      <c r="GZO554"/>
      <c r="GZP554"/>
      <c r="GZQ554"/>
      <c r="GZR554"/>
      <c r="GZS554"/>
      <c r="GZT554"/>
      <c r="GZU554"/>
      <c r="GZV554"/>
      <c r="GZW554"/>
      <c r="GZX554"/>
      <c r="GZY554"/>
      <c r="GZZ554"/>
      <c r="HAA554"/>
      <c r="HAB554"/>
      <c r="HAC554"/>
      <c r="HAD554"/>
      <c r="HAE554"/>
      <c r="HAF554"/>
      <c r="HAG554"/>
      <c r="HAH554"/>
      <c r="HAI554"/>
      <c r="HAJ554"/>
      <c r="HAK554"/>
      <c r="HAL554"/>
      <c r="HAM554"/>
      <c r="HAN554"/>
      <c r="HAO554"/>
      <c r="HAP554"/>
      <c r="HAQ554"/>
      <c r="HAR554"/>
      <c r="HAS554"/>
      <c r="HAT554"/>
      <c r="HAU554"/>
      <c r="HAV554"/>
      <c r="HAW554"/>
      <c r="HAX554"/>
      <c r="HAY554"/>
      <c r="HAZ554"/>
      <c r="HBA554"/>
      <c r="HBB554"/>
      <c r="HBC554"/>
      <c r="HBD554"/>
      <c r="HBE554"/>
      <c r="HBF554"/>
      <c r="HBG554"/>
      <c r="HBH554"/>
      <c r="HBI554"/>
      <c r="HBJ554"/>
      <c r="HBK554"/>
      <c r="HBL554"/>
      <c r="HBM554"/>
      <c r="HBN554"/>
      <c r="HBO554"/>
      <c r="HBP554"/>
      <c r="HBQ554"/>
      <c r="HBR554"/>
      <c r="HBS554"/>
      <c r="HBT554"/>
      <c r="HBU554"/>
      <c r="HBV554"/>
      <c r="HBW554"/>
      <c r="HBX554"/>
      <c r="HBY554"/>
      <c r="HBZ554"/>
      <c r="HCA554"/>
      <c r="HCB554"/>
      <c r="HCC554"/>
      <c r="HCD554"/>
      <c r="HCE554"/>
      <c r="HCF554"/>
      <c r="HCG554"/>
      <c r="HCH554"/>
      <c r="HCI554"/>
      <c r="HCJ554"/>
      <c r="HCK554"/>
      <c r="HCL554"/>
      <c r="HCM554"/>
      <c r="HCN554"/>
      <c r="HCO554"/>
      <c r="HCP554"/>
      <c r="HCQ554"/>
      <c r="HCR554"/>
      <c r="HCS554"/>
      <c r="HCT554"/>
      <c r="HCU554"/>
      <c r="HCV554"/>
      <c r="HCW554"/>
      <c r="HCX554"/>
      <c r="HCY554"/>
      <c r="HCZ554"/>
      <c r="HDA554"/>
      <c r="HDB554"/>
      <c r="HDC554"/>
      <c r="HDD554"/>
      <c r="HDE554"/>
      <c r="HDF554"/>
      <c r="HDG554"/>
      <c r="HDH554"/>
      <c r="HDI554"/>
      <c r="HDJ554"/>
      <c r="HDK554"/>
      <c r="HDL554"/>
      <c r="HDM554"/>
      <c r="HDN554"/>
      <c r="HDO554"/>
      <c r="HDP554"/>
      <c r="HDQ554"/>
      <c r="HDR554"/>
      <c r="HDS554"/>
      <c r="HDT554"/>
      <c r="HDU554"/>
      <c r="HDV554"/>
      <c r="HDW554"/>
      <c r="HDX554"/>
      <c r="HDY554"/>
      <c r="HDZ554"/>
      <c r="HEA554"/>
      <c r="HEB554"/>
      <c r="HEC554"/>
      <c r="HED554"/>
      <c r="HEE554"/>
      <c r="HEF554"/>
      <c r="HEG554"/>
      <c r="HEH554"/>
      <c r="HEI554"/>
      <c r="HEJ554"/>
      <c r="HEK554"/>
      <c r="HEL554"/>
      <c r="HEM554"/>
      <c r="HEN554"/>
      <c r="HEO554"/>
      <c r="HEP554"/>
      <c r="HEQ554"/>
      <c r="HER554"/>
      <c r="HES554"/>
      <c r="HET554"/>
      <c r="HEU554"/>
      <c r="HEV554"/>
      <c r="HEW554"/>
      <c r="HEX554"/>
      <c r="HEY554"/>
      <c r="HEZ554"/>
      <c r="HFA554"/>
      <c r="HFB554"/>
      <c r="HFC554"/>
      <c r="HFD554"/>
      <c r="HFE554"/>
      <c r="HFF554"/>
      <c r="HFG554"/>
      <c r="HFH554"/>
      <c r="HFI554"/>
      <c r="HFJ554"/>
      <c r="HFK554"/>
      <c r="HFL554"/>
      <c r="HFM554"/>
      <c r="HFN554"/>
      <c r="HFO554"/>
      <c r="HFP554"/>
      <c r="HFQ554"/>
      <c r="HFR554"/>
      <c r="HFS554"/>
      <c r="HFT554"/>
      <c r="HFU554"/>
      <c r="HFV554"/>
      <c r="HFW554"/>
      <c r="HFX554"/>
      <c r="HFY554"/>
      <c r="HFZ554"/>
      <c r="HGA554"/>
      <c r="HGB554"/>
      <c r="HGC554"/>
      <c r="HGD554"/>
      <c r="HGE554"/>
      <c r="HGF554"/>
      <c r="HGG554"/>
      <c r="HGH554"/>
      <c r="HGI554"/>
      <c r="HGJ554"/>
      <c r="HGK554"/>
      <c r="HGL554"/>
      <c r="HGM554"/>
      <c r="HGN554"/>
      <c r="HGO554"/>
      <c r="HGP554"/>
      <c r="HGQ554"/>
      <c r="HGR554"/>
      <c r="HGS554"/>
      <c r="HGT554"/>
      <c r="HGU554"/>
      <c r="HGV554"/>
      <c r="HGW554"/>
      <c r="HGX554"/>
      <c r="HGY554"/>
      <c r="HGZ554"/>
      <c r="HHA554"/>
      <c r="HHB554"/>
      <c r="HHC554"/>
      <c r="HHD554"/>
      <c r="HHE554"/>
      <c r="HHF554"/>
      <c r="HHG554"/>
      <c r="HHH554"/>
      <c r="HHI554"/>
      <c r="HHJ554"/>
      <c r="HHK554"/>
      <c r="HHL554"/>
      <c r="HHM554"/>
      <c r="HHN554"/>
      <c r="HHO554"/>
      <c r="HHP554"/>
      <c r="HHQ554"/>
      <c r="HHR554"/>
      <c r="HHS554"/>
      <c r="HHT554"/>
      <c r="HHU554"/>
      <c r="HHV554"/>
      <c r="HHW554"/>
      <c r="HHX554"/>
      <c r="HHY554"/>
      <c r="HHZ554"/>
      <c r="HIA554"/>
      <c r="HIB554"/>
      <c r="HIC554"/>
      <c r="HID554"/>
      <c r="HIE554"/>
      <c r="HIF554"/>
      <c r="HIG554"/>
      <c r="HIH554"/>
      <c r="HII554"/>
      <c r="HIJ554"/>
      <c r="HIK554"/>
      <c r="HIL554"/>
      <c r="HIM554"/>
      <c r="HIN554"/>
      <c r="HIO554"/>
      <c r="HIP554"/>
      <c r="HIQ554"/>
      <c r="HIR554"/>
      <c r="HIS554"/>
      <c r="HIT554"/>
      <c r="HIU554"/>
      <c r="HIV554"/>
      <c r="HIW554"/>
      <c r="HIX554"/>
      <c r="HIY554"/>
      <c r="HIZ554"/>
      <c r="HJA554"/>
      <c r="HJB554"/>
      <c r="HJC554"/>
      <c r="HJD554"/>
      <c r="HJE554"/>
      <c r="HJF554"/>
      <c r="HJG554"/>
      <c r="HJH554"/>
      <c r="HJI554"/>
      <c r="HJJ554"/>
      <c r="HJK554"/>
      <c r="HJL554"/>
      <c r="HJM554"/>
      <c r="HJN554"/>
      <c r="HJO554"/>
      <c r="HJP554"/>
      <c r="HJQ554"/>
      <c r="HJR554"/>
      <c r="HJS554"/>
      <c r="HJT554"/>
      <c r="HJU554"/>
      <c r="HJV554"/>
      <c r="HJW554"/>
      <c r="HJX554"/>
      <c r="HJY554"/>
      <c r="HJZ554"/>
      <c r="HKA554"/>
      <c r="HKB554"/>
      <c r="HKC554"/>
      <c r="HKD554"/>
      <c r="HKE554"/>
      <c r="HKF554"/>
      <c r="HKG554"/>
      <c r="HKH554"/>
      <c r="HKI554"/>
      <c r="HKJ554"/>
      <c r="HKK554"/>
      <c r="HKL554"/>
      <c r="HKM554"/>
      <c r="HKN554"/>
      <c r="HKO554"/>
      <c r="HKP554"/>
      <c r="HKQ554"/>
      <c r="HKR554"/>
      <c r="HKS554"/>
      <c r="HKT554"/>
      <c r="HKU554"/>
      <c r="HKV554"/>
      <c r="HKW554"/>
      <c r="HKX554"/>
      <c r="HKY554"/>
      <c r="HKZ554"/>
      <c r="HLA554"/>
      <c r="HLB554"/>
      <c r="HLC554"/>
      <c r="HLD554"/>
      <c r="HLE554"/>
      <c r="HLF554"/>
      <c r="HLG554"/>
      <c r="HLH554"/>
      <c r="HLI554"/>
      <c r="HLJ554"/>
      <c r="HLK554"/>
      <c r="HLL554"/>
      <c r="HLM554"/>
      <c r="HLN554"/>
      <c r="HLO554"/>
      <c r="HLP554"/>
      <c r="HLQ554"/>
      <c r="HLR554"/>
      <c r="HLS554"/>
      <c r="HLT554"/>
      <c r="HLU554"/>
      <c r="HLV554"/>
      <c r="HLW554"/>
      <c r="HLX554"/>
      <c r="HLY554"/>
      <c r="HLZ554"/>
      <c r="HMA554"/>
      <c r="HMB554"/>
      <c r="HMC554"/>
      <c r="HMD554"/>
      <c r="HME554"/>
      <c r="HMF554"/>
      <c r="HMG554"/>
      <c r="HMH554"/>
      <c r="HMI554"/>
      <c r="HMJ554"/>
      <c r="HMK554"/>
      <c r="HML554"/>
      <c r="HMM554"/>
      <c r="HMN554"/>
      <c r="HMO554"/>
      <c r="HMP554"/>
      <c r="HMQ554"/>
      <c r="HMR554"/>
      <c r="HMS554"/>
      <c r="HMT554"/>
      <c r="HMU554"/>
      <c r="HMV554"/>
      <c r="HMW554"/>
      <c r="HMX554"/>
      <c r="HMY554"/>
      <c r="HMZ554"/>
      <c r="HNA554"/>
      <c r="HNB554"/>
      <c r="HNC554"/>
      <c r="HND554"/>
      <c r="HNE554"/>
      <c r="HNF554"/>
      <c r="HNG554"/>
      <c r="HNH554"/>
      <c r="HNI554"/>
      <c r="HNJ554"/>
      <c r="HNK554"/>
      <c r="HNL554"/>
      <c r="HNM554"/>
      <c r="HNN554"/>
      <c r="HNO554"/>
      <c r="HNP554"/>
      <c r="HNQ554"/>
      <c r="HNR554"/>
      <c r="HNS554"/>
      <c r="HNT554"/>
      <c r="HNU554"/>
      <c r="HNV554"/>
      <c r="HNW554"/>
      <c r="HNX554"/>
      <c r="HNY554"/>
      <c r="HNZ554"/>
      <c r="HOA554"/>
      <c r="HOB554"/>
      <c r="HOC554"/>
      <c r="HOD554"/>
      <c r="HOE554"/>
      <c r="HOF554"/>
      <c r="HOG554"/>
      <c r="HOH554"/>
      <c r="HOI554"/>
      <c r="HOJ554"/>
      <c r="HOK554"/>
      <c r="HOL554"/>
      <c r="HOM554"/>
      <c r="HON554"/>
      <c r="HOO554"/>
      <c r="HOP554"/>
      <c r="HOQ554"/>
      <c r="HOR554"/>
      <c r="HOS554"/>
      <c r="HOT554"/>
      <c r="HOU554"/>
      <c r="HOV554"/>
      <c r="HOW554"/>
      <c r="HOX554"/>
      <c r="HOY554"/>
      <c r="HOZ554"/>
      <c r="HPA554"/>
      <c r="HPB554"/>
      <c r="HPC554"/>
      <c r="HPD554"/>
      <c r="HPE554"/>
      <c r="HPF554"/>
      <c r="HPG554"/>
      <c r="HPH554"/>
      <c r="HPI554"/>
      <c r="HPJ554"/>
      <c r="HPK554"/>
      <c r="HPL554"/>
      <c r="HPM554"/>
      <c r="HPN554"/>
      <c r="HPO554"/>
      <c r="HPP554"/>
      <c r="HPQ554"/>
      <c r="HPR554"/>
      <c r="HPS554"/>
      <c r="HPT554"/>
      <c r="HPU554"/>
      <c r="HPV554"/>
      <c r="HPW554"/>
      <c r="HPX554"/>
      <c r="HPY554"/>
      <c r="HPZ554"/>
      <c r="HQA554"/>
      <c r="HQB554"/>
      <c r="HQC554"/>
      <c r="HQD554"/>
      <c r="HQE554"/>
      <c r="HQF554"/>
      <c r="HQG554"/>
      <c r="HQH554"/>
      <c r="HQI554"/>
      <c r="HQJ554"/>
      <c r="HQK554"/>
      <c r="HQL554"/>
      <c r="HQM554"/>
      <c r="HQN554"/>
      <c r="HQO554"/>
      <c r="HQP554"/>
      <c r="HQQ554"/>
      <c r="HQR554"/>
      <c r="HQS554"/>
      <c r="HQT554"/>
      <c r="HQU554"/>
      <c r="HQV554"/>
      <c r="HQW554"/>
      <c r="HQX554"/>
      <c r="HQY554"/>
      <c r="HQZ554"/>
      <c r="HRA554"/>
      <c r="HRB554"/>
      <c r="HRC554"/>
      <c r="HRD554"/>
      <c r="HRE554"/>
      <c r="HRF554"/>
      <c r="HRG554"/>
      <c r="HRH554"/>
      <c r="HRI554"/>
      <c r="HRJ554"/>
      <c r="HRK554"/>
      <c r="HRL554"/>
      <c r="HRM554"/>
      <c r="HRN554"/>
      <c r="HRO554"/>
      <c r="HRP554"/>
      <c r="HRQ554"/>
      <c r="HRR554"/>
      <c r="HRS554"/>
      <c r="HRT554"/>
      <c r="HRU554"/>
      <c r="HRV554"/>
      <c r="HRW554"/>
      <c r="HRX554"/>
      <c r="HRY554"/>
      <c r="HRZ554"/>
      <c r="HSA554"/>
      <c r="HSB554"/>
      <c r="HSC554"/>
      <c r="HSD554"/>
      <c r="HSE554"/>
      <c r="HSF554"/>
      <c r="HSG554"/>
      <c r="HSH554"/>
      <c r="HSI554"/>
      <c r="HSJ554"/>
      <c r="HSK554"/>
      <c r="HSL554"/>
      <c r="HSM554"/>
      <c r="HSN554"/>
      <c r="HSO554"/>
      <c r="HSP554"/>
      <c r="HSQ554"/>
      <c r="HSR554"/>
      <c r="HSS554"/>
      <c r="HST554"/>
      <c r="HSU554"/>
      <c r="HSV554"/>
      <c r="HSW554"/>
      <c r="HSX554"/>
      <c r="HSY554"/>
      <c r="HSZ554"/>
      <c r="HTA554"/>
      <c r="HTB554"/>
      <c r="HTC554"/>
      <c r="HTD554"/>
      <c r="HTE554"/>
      <c r="HTF554"/>
      <c r="HTG554"/>
      <c r="HTH554"/>
      <c r="HTI554"/>
      <c r="HTJ554"/>
      <c r="HTK554"/>
      <c r="HTL554"/>
      <c r="HTM554"/>
      <c r="HTN554"/>
      <c r="HTO554"/>
      <c r="HTP554"/>
      <c r="HTQ554"/>
      <c r="HTR554"/>
      <c r="HTS554"/>
      <c r="HTT554"/>
      <c r="HTU554"/>
      <c r="HTV554"/>
      <c r="HTW554"/>
      <c r="HTX554"/>
      <c r="HTY554"/>
      <c r="HTZ554"/>
      <c r="HUA554"/>
      <c r="HUB554"/>
      <c r="HUC554"/>
      <c r="HUD554"/>
      <c r="HUE554"/>
      <c r="HUF554"/>
      <c r="HUG554"/>
      <c r="HUH554"/>
      <c r="HUI554"/>
      <c r="HUJ554"/>
      <c r="HUK554"/>
      <c r="HUL554"/>
      <c r="HUM554"/>
      <c r="HUN554"/>
      <c r="HUO554"/>
      <c r="HUP554"/>
      <c r="HUQ554"/>
      <c r="HUR554"/>
      <c r="HUS554"/>
      <c r="HUT554"/>
      <c r="HUU554"/>
      <c r="HUV554"/>
      <c r="HUW554"/>
      <c r="HUX554"/>
      <c r="HUY554"/>
      <c r="HUZ554"/>
      <c r="HVA554"/>
      <c r="HVB554"/>
      <c r="HVC554"/>
      <c r="HVD554"/>
      <c r="HVE554"/>
      <c r="HVF554"/>
      <c r="HVG554"/>
      <c r="HVH554"/>
      <c r="HVI554"/>
      <c r="HVJ554"/>
      <c r="HVK554"/>
      <c r="HVL554"/>
      <c r="HVM554"/>
      <c r="HVN554"/>
      <c r="HVO554"/>
      <c r="HVP554"/>
      <c r="HVQ554"/>
      <c r="HVR554"/>
      <c r="HVS554"/>
      <c r="HVT554"/>
      <c r="HVU554"/>
      <c r="HVV554"/>
      <c r="HVW554"/>
      <c r="HVX554"/>
      <c r="HVY554"/>
      <c r="HVZ554"/>
      <c r="HWA554"/>
      <c r="HWB554"/>
      <c r="HWC554"/>
      <c r="HWD554"/>
      <c r="HWE554"/>
      <c r="HWF554"/>
      <c r="HWG554"/>
      <c r="HWH554"/>
      <c r="HWI554"/>
      <c r="HWJ554"/>
      <c r="HWK554"/>
      <c r="HWL554"/>
      <c r="HWM554"/>
      <c r="HWN554"/>
      <c r="HWO554"/>
      <c r="HWP554"/>
      <c r="HWQ554"/>
      <c r="HWR554"/>
      <c r="HWS554"/>
      <c r="HWT554"/>
      <c r="HWU554"/>
      <c r="HWV554"/>
      <c r="HWW554"/>
      <c r="HWX554"/>
      <c r="HWY554"/>
      <c r="HWZ554"/>
      <c r="HXA554"/>
      <c r="HXB554"/>
      <c r="HXC554"/>
      <c r="HXD554"/>
      <c r="HXE554"/>
      <c r="HXF554"/>
      <c r="HXG554"/>
      <c r="HXH554"/>
      <c r="HXI554"/>
      <c r="HXJ554"/>
      <c r="HXK554"/>
      <c r="HXL554"/>
      <c r="HXM554"/>
      <c r="HXN554"/>
      <c r="HXO554"/>
      <c r="HXP554"/>
      <c r="HXQ554"/>
      <c r="HXR554"/>
      <c r="HXS554"/>
      <c r="HXT554"/>
      <c r="HXU554"/>
      <c r="HXV554"/>
      <c r="HXW554"/>
      <c r="HXX554"/>
      <c r="HXY554"/>
      <c r="HXZ554"/>
      <c r="HYA554"/>
      <c r="HYB554"/>
      <c r="HYC554"/>
      <c r="HYD554"/>
      <c r="HYE554"/>
      <c r="HYF554"/>
      <c r="HYG554"/>
      <c r="HYH554"/>
      <c r="HYI554"/>
      <c r="HYJ554"/>
      <c r="HYK554"/>
      <c r="HYL554"/>
      <c r="HYM554"/>
      <c r="HYN554"/>
      <c r="HYO554"/>
      <c r="HYP554"/>
      <c r="HYQ554"/>
      <c r="HYR554"/>
      <c r="HYS554"/>
      <c r="HYT554"/>
      <c r="HYU554"/>
      <c r="HYV554"/>
      <c r="HYW554"/>
      <c r="HYX554"/>
      <c r="HYY554"/>
      <c r="HYZ554"/>
      <c r="HZA554"/>
      <c r="HZB554"/>
      <c r="HZC554"/>
      <c r="HZD554"/>
      <c r="HZE554"/>
      <c r="HZF554"/>
      <c r="HZG554"/>
      <c r="HZH554"/>
      <c r="HZI554"/>
      <c r="HZJ554"/>
      <c r="HZK554"/>
      <c r="HZL554"/>
      <c r="HZM554"/>
      <c r="HZN554"/>
      <c r="HZO554"/>
      <c r="HZP554"/>
      <c r="HZQ554"/>
      <c r="HZR554"/>
      <c r="HZS554"/>
      <c r="HZT554"/>
      <c r="HZU554"/>
      <c r="HZV554"/>
      <c r="HZW554"/>
      <c r="HZX554"/>
      <c r="HZY554"/>
      <c r="HZZ554"/>
      <c r="IAA554"/>
      <c r="IAB554"/>
      <c r="IAC554"/>
      <c r="IAD554"/>
      <c r="IAE554"/>
      <c r="IAF554"/>
      <c r="IAG554"/>
      <c r="IAH554"/>
      <c r="IAI554"/>
      <c r="IAJ554"/>
      <c r="IAK554"/>
      <c r="IAL554"/>
      <c r="IAM554"/>
      <c r="IAN554"/>
      <c r="IAO554"/>
      <c r="IAP554"/>
      <c r="IAQ554"/>
      <c r="IAR554"/>
      <c r="IAS554"/>
      <c r="IAT554"/>
      <c r="IAU554"/>
      <c r="IAV554"/>
      <c r="IAW554"/>
      <c r="IAX554"/>
      <c r="IAY554"/>
      <c r="IAZ554"/>
      <c r="IBA554"/>
      <c r="IBB554"/>
      <c r="IBC554"/>
      <c r="IBD554"/>
      <c r="IBE554"/>
      <c r="IBF554"/>
      <c r="IBG554"/>
      <c r="IBH554"/>
      <c r="IBI554"/>
      <c r="IBJ554"/>
      <c r="IBK554"/>
      <c r="IBL554"/>
      <c r="IBM554"/>
      <c r="IBN554"/>
      <c r="IBO554"/>
      <c r="IBP554"/>
      <c r="IBQ554"/>
      <c r="IBR554"/>
      <c r="IBS554"/>
      <c r="IBT554"/>
      <c r="IBU554"/>
      <c r="IBV554"/>
      <c r="IBW554"/>
      <c r="IBX554"/>
      <c r="IBY554"/>
      <c r="IBZ554"/>
      <c r="ICA554"/>
      <c r="ICB554"/>
      <c r="ICC554"/>
      <c r="ICD554"/>
      <c r="ICE554"/>
      <c r="ICF554"/>
      <c r="ICG554"/>
      <c r="ICH554"/>
      <c r="ICI554"/>
      <c r="ICJ554"/>
      <c r="ICK554"/>
      <c r="ICL554"/>
      <c r="ICM554"/>
      <c r="ICN554"/>
      <c r="ICO554"/>
      <c r="ICP554"/>
      <c r="ICQ554"/>
      <c r="ICR554"/>
      <c r="ICS554"/>
      <c r="ICT554"/>
      <c r="ICU554"/>
      <c r="ICV554"/>
      <c r="ICW554"/>
      <c r="ICX554"/>
      <c r="ICY554"/>
      <c r="ICZ554"/>
      <c r="IDA554"/>
      <c r="IDB554"/>
      <c r="IDC554"/>
      <c r="IDD554"/>
      <c r="IDE554"/>
      <c r="IDF554"/>
      <c r="IDG554"/>
      <c r="IDH554"/>
      <c r="IDI554"/>
      <c r="IDJ554"/>
      <c r="IDK554"/>
      <c r="IDL554"/>
      <c r="IDM554"/>
      <c r="IDN554"/>
      <c r="IDO554"/>
      <c r="IDP554"/>
      <c r="IDQ554"/>
      <c r="IDR554"/>
      <c r="IDS554"/>
      <c r="IDT554"/>
      <c r="IDU554"/>
      <c r="IDV554"/>
      <c r="IDW554"/>
      <c r="IDX554"/>
      <c r="IDY554"/>
      <c r="IDZ554"/>
      <c r="IEA554"/>
      <c r="IEB554"/>
      <c r="IEC554"/>
      <c r="IED554"/>
      <c r="IEE554"/>
      <c r="IEF554"/>
      <c r="IEG554"/>
      <c r="IEH554"/>
      <c r="IEI554"/>
      <c r="IEJ554"/>
      <c r="IEK554"/>
      <c r="IEL554"/>
      <c r="IEM554"/>
      <c r="IEN554"/>
      <c r="IEO554"/>
      <c r="IEP554"/>
      <c r="IEQ554"/>
      <c r="IER554"/>
      <c r="IES554"/>
      <c r="IET554"/>
      <c r="IEU554"/>
      <c r="IEV554"/>
      <c r="IEW554"/>
      <c r="IEX554"/>
      <c r="IEY554"/>
      <c r="IEZ554"/>
      <c r="IFA554"/>
      <c r="IFB554"/>
      <c r="IFC554"/>
      <c r="IFD554"/>
      <c r="IFE554"/>
      <c r="IFF554"/>
      <c r="IFG554"/>
      <c r="IFH554"/>
      <c r="IFI554"/>
      <c r="IFJ554"/>
      <c r="IFK554"/>
      <c r="IFL554"/>
      <c r="IFM554"/>
      <c r="IFN554"/>
      <c r="IFO554"/>
      <c r="IFP554"/>
      <c r="IFQ554"/>
      <c r="IFR554"/>
      <c r="IFS554"/>
      <c r="IFT554"/>
      <c r="IFU554"/>
      <c r="IFV554"/>
      <c r="IFW554"/>
      <c r="IFX554"/>
      <c r="IFY554"/>
      <c r="IFZ554"/>
      <c r="IGA554"/>
      <c r="IGB554"/>
      <c r="IGC554"/>
      <c r="IGD554"/>
      <c r="IGE554"/>
      <c r="IGF554"/>
      <c r="IGG554"/>
      <c r="IGH554"/>
      <c r="IGI554"/>
      <c r="IGJ554"/>
      <c r="IGK554"/>
      <c r="IGL554"/>
      <c r="IGM554"/>
      <c r="IGN554"/>
      <c r="IGO554"/>
      <c r="IGP554"/>
      <c r="IGQ554"/>
      <c r="IGR554"/>
      <c r="IGS554"/>
      <c r="IGT554"/>
      <c r="IGU554"/>
      <c r="IGV554"/>
      <c r="IGW554"/>
      <c r="IGX554"/>
      <c r="IGY554"/>
      <c r="IGZ554"/>
      <c r="IHA554"/>
      <c r="IHB554"/>
      <c r="IHC554"/>
      <c r="IHD554"/>
      <c r="IHE554"/>
      <c r="IHF554"/>
      <c r="IHG554"/>
      <c r="IHH554"/>
      <c r="IHI554"/>
      <c r="IHJ554"/>
      <c r="IHK554"/>
      <c r="IHL554"/>
      <c r="IHM554"/>
      <c r="IHN554"/>
      <c r="IHO554"/>
      <c r="IHP554"/>
      <c r="IHQ554"/>
      <c r="IHR554"/>
      <c r="IHS554"/>
      <c r="IHT554"/>
      <c r="IHU554"/>
      <c r="IHV554"/>
      <c r="IHW554"/>
      <c r="IHX554"/>
      <c r="IHY554"/>
      <c r="IHZ554"/>
      <c r="IIA554"/>
      <c r="IIB554"/>
      <c r="IIC554"/>
      <c r="IID554"/>
      <c r="IIE554"/>
      <c r="IIF554"/>
      <c r="IIG554"/>
      <c r="IIH554"/>
      <c r="III554"/>
      <c r="IIJ554"/>
      <c r="IIK554"/>
      <c r="IIL554"/>
      <c r="IIM554"/>
      <c r="IIN554"/>
      <c r="IIO554"/>
      <c r="IIP554"/>
      <c r="IIQ554"/>
      <c r="IIR554"/>
      <c r="IIS554"/>
      <c r="IIT554"/>
      <c r="IIU554"/>
      <c r="IIV554"/>
      <c r="IIW554"/>
      <c r="IIX554"/>
      <c r="IIY554"/>
      <c r="IIZ554"/>
      <c r="IJA554"/>
      <c r="IJB554"/>
      <c r="IJC554"/>
      <c r="IJD554"/>
      <c r="IJE554"/>
      <c r="IJF554"/>
      <c r="IJG554"/>
      <c r="IJH554"/>
      <c r="IJI554"/>
      <c r="IJJ554"/>
      <c r="IJK554"/>
      <c r="IJL554"/>
      <c r="IJM554"/>
      <c r="IJN554"/>
      <c r="IJO554"/>
      <c r="IJP554"/>
      <c r="IJQ554"/>
      <c r="IJR554"/>
      <c r="IJS554"/>
      <c r="IJT554"/>
      <c r="IJU554"/>
      <c r="IJV554"/>
      <c r="IJW554"/>
      <c r="IJX554"/>
      <c r="IJY554"/>
      <c r="IJZ554"/>
      <c r="IKA554"/>
      <c r="IKB554"/>
      <c r="IKC554"/>
      <c r="IKD554"/>
      <c r="IKE554"/>
      <c r="IKF554"/>
      <c r="IKG554"/>
      <c r="IKH554"/>
      <c r="IKI554"/>
      <c r="IKJ554"/>
      <c r="IKK554"/>
      <c r="IKL554"/>
      <c r="IKM554"/>
      <c r="IKN554"/>
      <c r="IKO554"/>
      <c r="IKP554"/>
      <c r="IKQ554"/>
      <c r="IKR554"/>
      <c r="IKS554"/>
      <c r="IKT554"/>
      <c r="IKU554"/>
      <c r="IKV554"/>
      <c r="IKW554"/>
      <c r="IKX554"/>
      <c r="IKY554"/>
      <c r="IKZ554"/>
      <c r="ILA554"/>
      <c r="ILB554"/>
      <c r="ILC554"/>
      <c r="ILD554"/>
      <c r="ILE554"/>
      <c r="ILF554"/>
      <c r="ILG554"/>
      <c r="ILH554"/>
      <c r="ILI554"/>
      <c r="ILJ554"/>
      <c r="ILK554"/>
      <c r="ILL554"/>
      <c r="ILM554"/>
      <c r="ILN554"/>
      <c r="ILO554"/>
      <c r="ILP554"/>
      <c r="ILQ554"/>
      <c r="ILR554"/>
      <c r="ILS554"/>
      <c r="ILT554"/>
      <c r="ILU554"/>
      <c r="ILV554"/>
      <c r="ILW554"/>
      <c r="ILX554"/>
      <c r="ILY554"/>
      <c r="ILZ554"/>
      <c r="IMA554"/>
      <c r="IMB554"/>
      <c r="IMC554"/>
      <c r="IMD554"/>
      <c r="IME554"/>
      <c r="IMF554"/>
      <c r="IMG554"/>
      <c r="IMH554"/>
      <c r="IMI554"/>
      <c r="IMJ554"/>
      <c r="IMK554"/>
      <c r="IML554"/>
      <c r="IMM554"/>
      <c r="IMN554"/>
      <c r="IMO554"/>
      <c r="IMP554"/>
      <c r="IMQ554"/>
      <c r="IMR554"/>
      <c r="IMS554"/>
      <c r="IMT554"/>
      <c r="IMU554"/>
      <c r="IMV554"/>
      <c r="IMW554"/>
      <c r="IMX554"/>
      <c r="IMY554"/>
      <c r="IMZ554"/>
      <c r="INA554"/>
      <c r="INB554"/>
      <c r="INC554"/>
      <c r="IND554"/>
      <c r="INE554"/>
      <c r="INF554"/>
      <c r="ING554"/>
      <c r="INH554"/>
      <c r="INI554"/>
      <c r="INJ554"/>
      <c r="INK554"/>
      <c r="INL554"/>
      <c r="INM554"/>
      <c r="INN554"/>
      <c r="INO554"/>
      <c r="INP554"/>
      <c r="INQ554"/>
      <c r="INR554"/>
      <c r="INS554"/>
      <c r="INT554"/>
      <c r="INU554"/>
      <c r="INV554"/>
      <c r="INW554"/>
      <c r="INX554"/>
      <c r="INY554"/>
      <c r="INZ554"/>
      <c r="IOA554"/>
      <c r="IOB554"/>
      <c r="IOC554"/>
      <c r="IOD554"/>
      <c r="IOE554"/>
      <c r="IOF554"/>
      <c r="IOG554"/>
      <c r="IOH554"/>
      <c r="IOI554"/>
      <c r="IOJ554"/>
      <c r="IOK554"/>
      <c r="IOL554"/>
      <c r="IOM554"/>
      <c r="ION554"/>
      <c r="IOO554"/>
      <c r="IOP554"/>
      <c r="IOQ554"/>
      <c r="IOR554"/>
      <c r="IOS554"/>
      <c r="IOT554"/>
      <c r="IOU554"/>
      <c r="IOV554"/>
      <c r="IOW554"/>
      <c r="IOX554"/>
      <c r="IOY554"/>
      <c r="IOZ554"/>
      <c r="IPA554"/>
      <c r="IPB554"/>
      <c r="IPC554"/>
      <c r="IPD554"/>
      <c r="IPE554"/>
      <c r="IPF554"/>
      <c r="IPG554"/>
      <c r="IPH554"/>
      <c r="IPI554"/>
      <c r="IPJ554"/>
      <c r="IPK554"/>
      <c r="IPL554"/>
      <c r="IPM554"/>
      <c r="IPN554"/>
      <c r="IPO554"/>
      <c r="IPP554"/>
      <c r="IPQ554"/>
      <c r="IPR554"/>
      <c r="IPS554"/>
      <c r="IPT554"/>
      <c r="IPU554"/>
      <c r="IPV554"/>
      <c r="IPW554"/>
      <c r="IPX554"/>
      <c r="IPY554"/>
      <c r="IPZ554"/>
      <c r="IQA554"/>
      <c r="IQB554"/>
      <c r="IQC554"/>
      <c r="IQD554"/>
      <c r="IQE554"/>
      <c r="IQF554"/>
      <c r="IQG554"/>
      <c r="IQH554"/>
      <c r="IQI554"/>
      <c r="IQJ554"/>
      <c r="IQK554"/>
      <c r="IQL554"/>
      <c r="IQM554"/>
      <c r="IQN554"/>
      <c r="IQO554"/>
      <c r="IQP554"/>
      <c r="IQQ554"/>
      <c r="IQR554"/>
      <c r="IQS554"/>
      <c r="IQT554"/>
      <c r="IQU554"/>
      <c r="IQV554"/>
      <c r="IQW554"/>
      <c r="IQX554"/>
      <c r="IQY554"/>
      <c r="IQZ554"/>
      <c r="IRA554"/>
      <c r="IRB554"/>
      <c r="IRC554"/>
      <c r="IRD554"/>
      <c r="IRE554"/>
      <c r="IRF554"/>
      <c r="IRG554"/>
      <c r="IRH554"/>
      <c r="IRI554"/>
      <c r="IRJ554"/>
      <c r="IRK554"/>
      <c r="IRL554"/>
      <c r="IRM554"/>
      <c r="IRN554"/>
      <c r="IRO554"/>
      <c r="IRP554"/>
      <c r="IRQ554"/>
      <c r="IRR554"/>
      <c r="IRS554"/>
      <c r="IRT554"/>
      <c r="IRU554"/>
      <c r="IRV554"/>
      <c r="IRW554"/>
      <c r="IRX554"/>
      <c r="IRY554"/>
      <c r="IRZ554"/>
      <c r="ISA554"/>
      <c r="ISB554"/>
      <c r="ISC554"/>
      <c r="ISD554"/>
      <c r="ISE554"/>
      <c r="ISF554"/>
      <c r="ISG554"/>
      <c r="ISH554"/>
      <c r="ISI554"/>
      <c r="ISJ554"/>
      <c r="ISK554"/>
      <c r="ISL554"/>
      <c r="ISM554"/>
      <c r="ISN554"/>
      <c r="ISO554"/>
      <c r="ISP554"/>
      <c r="ISQ554"/>
      <c r="ISR554"/>
      <c r="ISS554"/>
      <c r="IST554"/>
      <c r="ISU554"/>
      <c r="ISV554"/>
      <c r="ISW554"/>
      <c r="ISX554"/>
      <c r="ISY554"/>
      <c r="ISZ554"/>
      <c r="ITA554"/>
      <c r="ITB554"/>
      <c r="ITC554"/>
      <c r="ITD554"/>
      <c r="ITE554"/>
      <c r="ITF554"/>
      <c r="ITG554"/>
      <c r="ITH554"/>
      <c r="ITI554"/>
      <c r="ITJ554"/>
      <c r="ITK554"/>
      <c r="ITL554"/>
      <c r="ITM554"/>
      <c r="ITN554"/>
      <c r="ITO554"/>
      <c r="ITP554"/>
      <c r="ITQ554"/>
      <c r="ITR554"/>
      <c r="ITS554"/>
      <c r="ITT554"/>
      <c r="ITU554"/>
      <c r="ITV554"/>
      <c r="ITW554"/>
      <c r="ITX554"/>
      <c r="ITY554"/>
      <c r="ITZ554"/>
      <c r="IUA554"/>
      <c r="IUB554"/>
      <c r="IUC554"/>
      <c r="IUD554"/>
      <c r="IUE554"/>
      <c r="IUF554"/>
      <c r="IUG554"/>
      <c r="IUH554"/>
      <c r="IUI554"/>
      <c r="IUJ554"/>
      <c r="IUK554"/>
      <c r="IUL554"/>
      <c r="IUM554"/>
      <c r="IUN554"/>
      <c r="IUO554"/>
      <c r="IUP554"/>
      <c r="IUQ554"/>
      <c r="IUR554"/>
      <c r="IUS554"/>
      <c r="IUT554"/>
      <c r="IUU554"/>
      <c r="IUV554"/>
      <c r="IUW554"/>
      <c r="IUX554"/>
      <c r="IUY554"/>
      <c r="IUZ554"/>
      <c r="IVA554"/>
      <c r="IVB554"/>
      <c r="IVC554"/>
      <c r="IVD554"/>
      <c r="IVE554"/>
      <c r="IVF554"/>
      <c r="IVG554"/>
      <c r="IVH554"/>
      <c r="IVI554"/>
      <c r="IVJ554"/>
      <c r="IVK554"/>
      <c r="IVL554"/>
      <c r="IVM554"/>
      <c r="IVN554"/>
      <c r="IVO554"/>
      <c r="IVP554"/>
      <c r="IVQ554"/>
      <c r="IVR554"/>
      <c r="IVS554"/>
      <c r="IVT554"/>
      <c r="IVU554"/>
      <c r="IVV554"/>
      <c r="IVW554"/>
      <c r="IVX554"/>
      <c r="IVY554"/>
      <c r="IVZ554"/>
      <c r="IWA554"/>
      <c r="IWB554"/>
      <c r="IWC554"/>
      <c r="IWD554"/>
      <c r="IWE554"/>
      <c r="IWF554"/>
      <c r="IWG554"/>
      <c r="IWH554"/>
      <c r="IWI554"/>
      <c r="IWJ554"/>
      <c r="IWK554"/>
      <c r="IWL554"/>
      <c r="IWM554"/>
      <c r="IWN554"/>
      <c r="IWO554"/>
      <c r="IWP554"/>
      <c r="IWQ554"/>
      <c r="IWR554"/>
      <c r="IWS554"/>
      <c r="IWT554"/>
      <c r="IWU554"/>
      <c r="IWV554"/>
      <c r="IWW554"/>
      <c r="IWX554"/>
      <c r="IWY554"/>
      <c r="IWZ554"/>
      <c r="IXA554"/>
      <c r="IXB554"/>
      <c r="IXC554"/>
      <c r="IXD554"/>
      <c r="IXE554"/>
      <c r="IXF554"/>
      <c r="IXG554"/>
      <c r="IXH554"/>
      <c r="IXI554"/>
      <c r="IXJ554"/>
      <c r="IXK554"/>
      <c r="IXL554"/>
      <c r="IXM554"/>
      <c r="IXN554"/>
      <c r="IXO554"/>
      <c r="IXP554"/>
      <c r="IXQ554"/>
      <c r="IXR554"/>
      <c r="IXS554"/>
      <c r="IXT554"/>
      <c r="IXU554"/>
      <c r="IXV554"/>
      <c r="IXW554"/>
      <c r="IXX554"/>
      <c r="IXY554"/>
      <c r="IXZ554"/>
      <c r="IYA554"/>
      <c r="IYB554"/>
      <c r="IYC554"/>
      <c r="IYD554"/>
      <c r="IYE554"/>
      <c r="IYF554"/>
      <c r="IYG554"/>
      <c r="IYH554"/>
      <c r="IYI554"/>
      <c r="IYJ554"/>
      <c r="IYK554"/>
      <c r="IYL554"/>
      <c r="IYM554"/>
      <c r="IYN554"/>
      <c r="IYO554"/>
      <c r="IYP554"/>
      <c r="IYQ554"/>
      <c r="IYR554"/>
      <c r="IYS554"/>
      <c r="IYT554"/>
      <c r="IYU554"/>
      <c r="IYV554"/>
      <c r="IYW554"/>
      <c r="IYX554"/>
      <c r="IYY554"/>
      <c r="IYZ554"/>
      <c r="IZA554"/>
      <c r="IZB554"/>
      <c r="IZC554"/>
      <c r="IZD554"/>
      <c r="IZE554"/>
      <c r="IZF554"/>
      <c r="IZG554"/>
      <c r="IZH554"/>
      <c r="IZI554"/>
      <c r="IZJ554"/>
      <c r="IZK554"/>
      <c r="IZL554"/>
      <c r="IZM554"/>
      <c r="IZN554"/>
      <c r="IZO554"/>
      <c r="IZP554"/>
      <c r="IZQ554"/>
      <c r="IZR554"/>
      <c r="IZS554"/>
      <c r="IZT554"/>
      <c r="IZU554"/>
      <c r="IZV554"/>
      <c r="IZW554"/>
      <c r="IZX554"/>
      <c r="IZY554"/>
      <c r="IZZ554"/>
      <c r="JAA554"/>
      <c r="JAB554"/>
      <c r="JAC554"/>
      <c r="JAD554"/>
      <c r="JAE554"/>
      <c r="JAF554"/>
      <c r="JAG554"/>
      <c r="JAH554"/>
      <c r="JAI554"/>
      <c r="JAJ554"/>
      <c r="JAK554"/>
      <c r="JAL554"/>
      <c r="JAM554"/>
      <c r="JAN554"/>
      <c r="JAO554"/>
      <c r="JAP554"/>
      <c r="JAQ554"/>
      <c r="JAR554"/>
      <c r="JAS554"/>
      <c r="JAT554"/>
      <c r="JAU554"/>
      <c r="JAV554"/>
      <c r="JAW554"/>
      <c r="JAX554"/>
      <c r="JAY554"/>
      <c r="JAZ554"/>
      <c r="JBA554"/>
      <c r="JBB554"/>
      <c r="JBC554"/>
      <c r="JBD554"/>
      <c r="JBE554"/>
      <c r="JBF554"/>
      <c r="JBG554"/>
      <c r="JBH554"/>
      <c r="JBI554"/>
      <c r="JBJ554"/>
      <c r="JBK554"/>
      <c r="JBL554"/>
      <c r="JBM554"/>
      <c r="JBN554"/>
      <c r="JBO554"/>
      <c r="JBP554"/>
      <c r="JBQ554"/>
      <c r="JBR554"/>
      <c r="JBS554"/>
      <c r="JBT554"/>
      <c r="JBU554"/>
      <c r="JBV554"/>
      <c r="JBW554"/>
      <c r="JBX554"/>
      <c r="JBY554"/>
      <c r="JBZ554"/>
      <c r="JCA554"/>
      <c r="JCB554"/>
      <c r="JCC554"/>
      <c r="JCD554"/>
      <c r="JCE554"/>
      <c r="JCF554"/>
      <c r="JCG554"/>
      <c r="JCH554"/>
      <c r="JCI554"/>
      <c r="JCJ554"/>
      <c r="JCK554"/>
      <c r="JCL554"/>
      <c r="JCM554"/>
      <c r="JCN554"/>
      <c r="JCO554"/>
      <c r="JCP554"/>
      <c r="JCQ554"/>
      <c r="JCR554"/>
      <c r="JCS554"/>
      <c r="JCT554"/>
      <c r="JCU554"/>
      <c r="JCV554"/>
      <c r="JCW554"/>
      <c r="JCX554"/>
      <c r="JCY554"/>
      <c r="JCZ554"/>
      <c r="JDA554"/>
      <c r="JDB554"/>
      <c r="JDC554"/>
      <c r="JDD554"/>
      <c r="JDE554"/>
      <c r="JDF554"/>
      <c r="JDG554"/>
      <c r="JDH554"/>
      <c r="JDI554"/>
      <c r="JDJ554"/>
      <c r="JDK554"/>
      <c r="JDL554"/>
      <c r="JDM554"/>
      <c r="JDN554"/>
      <c r="JDO554"/>
      <c r="JDP554"/>
      <c r="JDQ554"/>
      <c r="JDR554"/>
      <c r="JDS554"/>
      <c r="JDT554"/>
      <c r="JDU554"/>
      <c r="JDV554"/>
      <c r="JDW554"/>
      <c r="JDX554"/>
      <c r="JDY554"/>
      <c r="JDZ554"/>
      <c r="JEA554"/>
      <c r="JEB554"/>
      <c r="JEC554"/>
      <c r="JED554"/>
      <c r="JEE554"/>
      <c r="JEF554"/>
      <c r="JEG554"/>
      <c r="JEH554"/>
      <c r="JEI554"/>
      <c r="JEJ554"/>
      <c r="JEK554"/>
      <c r="JEL554"/>
      <c r="JEM554"/>
      <c r="JEN554"/>
      <c r="JEO554"/>
      <c r="JEP554"/>
      <c r="JEQ554"/>
      <c r="JER554"/>
      <c r="JES554"/>
      <c r="JET554"/>
      <c r="JEU554"/>
      <c r="JEV554"/>
      <c r="JEW554"/>
      <c r="JEX554"/>
      <c r="JEY554"/>
      <c r="JEZ554"/>
      <c r="JFA554"/>
      <c r="JFB554"/>
      <c r="JFC554"/>
      <c r="JFD554"/>
      <c r="JFE554"/>
      <c r="JFF554"/>
      <c r="JFG554"/>
      <c r="JFH554"/>
      <c r="JFI554"/>
      <c r="JFJ554"/>
      <c r="JFK554"/>
      <c r="JFL554"/>
      <c r="JFM554"/>
      <c r="JFN554"/>
      <c r="JFO554"/>
      <c r="JFP554"/>
      <c r="JFQ554"/>
      <c r="JFR554"/>
      <c r="JFS554"/>
      <c r="JFT554"/>
      <c r="JFU554"/>
      <c r="JFV554"/>
      <c r="JFW554"/>
      <c r="JFX554"/>
      <c r="JFY554"/>
      <c r="JFZ554"/>
      <c r="JGA554"/>
      <c r="JGB554"/>
      <c r="JGC554"/>
      <c r="JGD554"/>
      <c r="JGE554"/>
      <c r="JGF554"/>
      <c r="JGG554"/>
      <c r="JGH554"/>
      <c r="JGI554"/>
      <c r="JGJ554"/>
      <c r="JGK554"/>
      <c r="JGL554"/>
      <c r="JGM554"/>
      <c r="JGN554"/>
      <c r="JGO554"/>
      <c r="JGP554"/>
      <c r="JGQ554"/>
      <c r="JGR554"/>
      <c r="JGS554"/>
      <c r="JGT554"/>
      <c r="JGU554"/>
      <c r="JGV554"/>
      <c r="JGW554"/>
      <c r="JGX554"/>
      <c r="JGY554"/>
      <c r="JGZ554"/>
      <c r="JHA554"/>
      <c r="JHB554"/>
      <c r="JHC554"/>
      <c r="JHD554"/>
      <c r="JHE554"/>
      <c r="JHF554"/>
      <c r="JHG554"/>
      <c r="JHH554"/>
      <c r="JHI554"/>
      <c r="JHJ554"/>
      <c r="JHK554"/>
      <c r="JHL554"/>
      <c r="JHM554"/>
      <c r="JHN554"/>
      <c r="JHO554"/>
      <c r="JHP554"/>
      <c r="JHQ554"/>
      <c r="JHR554"/>
      <c r="JHS554"/>
      <c r="JHT554"/>
      <c r="JHU554"/>
      <c r="JHV554"/>
      <c r="JHW554"/>
      <c r="JHX554"/>
      <c r="JHY554"/>
      <c r="JHZ554"/>
      <c r="JIA554"/>
      <c r="JIB554"/>
      <c r="JIC554"/>
      <c r="JID554"/>
      <c r="JIE554"/>
      <c r="JIF554"/>
      <c r="JIG554"/>
      <c r="JIH554"/>
      <c r="JII554"/>
      <c r="JIJ554"/>
      <c r="JIK554"/>
      <c r="JIL554"/>
      <c r="JIM554"/>
      <c r="JIN554"/>
      <c r="JIO554"/>
      <c r="JIP554"/>
      <c r="JIQ554"/>
      <c r="JIR554"/>
      <c r="JIS554"/>
      <c r="JIT554"/>
      <c r="JIU554"/>
      <c r="JIV554"/>
      <c r="JIW554"/>
      <c r="JIX554"/>
      <c r="JIY554"/>
      <c r="JIZ554"/>
      <c r="JJA554"/>
      <c r="JJB554"/>
      <c r="JJC554"/>
      <c r="JJD554"/>
      <c r="JJE554"/>
      <c r="JJF554"/>
      <c r="JJG554"/>
      <c r="JJH554"/>
      <c r="JJI554"/>
      <c r="JJJ554"/>
      <c r="JJK554"/>
      <c r="JJL554"/>
      <c r="JJM554"/>
      <c r="JJN554"/>
      <c r="JJO554"/>
      <c r="JJP554"/>
      <c r="JJQ554"/>
      <c r="JJR554"/>
      <c r="JJS554"/>
      <c r="JJT554"/>
      <c r="JJU554"/>
      <c r="JJV554"/>
      <c r="JJW554"/>
      <c r="JJX554"/>
      <c r="JJY554"/>
      <c r="JJZ554"/>
      <c r="JKA554"/>
      <c r="JKB554"/>
      <c r="JKC554"/>
      <c r="JKD554"/>
      <c r="JKE554"/>
      <c r="JKF554"/>
      <c r="JKG554"/>
      <c r="JKH554"/>
      <c r="JKI554"/>
      <c r="JKJ554"/>
      <c r="JKK554"/>
      <c r="JKL554"/>
      <c r="JKM554"/>
      <c r="JKN554"/>
      <c r="JKO554"/>
      <c r="JKP554"/>
      <c r="JKQ554"/>
      <c r="JKR554"/>
      <c r="JKS554"/>
      <c r="JKT554"/>
      <c r="JKU554"/>
      <c r="JKV554"/>
      <c r="JKW554"/>
      <c r="JKX554"/>
      <c r="JKY554"/>
      <c r="JKZ554"/>
      <c r="JLA554"/>
      <c r="JLB554"/>
      <c r="JLC554"/>
      <c r="JLD554"/>
      <c r="JLE554"/>
      <c r="JLF554"/>
      <c r="JLG554"/>
      <c r="JLH554"/>
      <c r="JLI554"/>
      <c r="JLJ554"/>
      <c r="JLK554"/>
      <c r="JLL554"/>
      <c r="JLM554"/>
      <c r="JLN554"/>
      <c r="JLO554"/>
      <c r="JLP554"/>
      <c r="JLQ554"/>
      <c r="JLR554"/>
      <c r="JLS554"/>
      <c r="JLT554"/>
      <c r="JLU554"/>
      <c r="JLV554"/>
      <c r="JLW554"/>
      <c r="JLX554"/>
      <c r="JLY554"/>
      <c r="JLZ554"/>
      <c r="JMA554"/>
      <c r="JMB554"/>
      <c r="JMC554"/>
      <c r="JMD554"/>
      <c r="JME554"/>
      <c r="JMF554"/>
      <c r="JMG554"/>
      <c r="JMH554"/>
      <c r="JMI554"/>
      <c r="JMJ554"/>
      <c r="JMK554"/>
      <c r="JML554"/>
      <c r="JMM554"/>
      <c r="JMN554"/>
      <c r="JMO554"/>
      <c r="JMP554"/>
      <c r="JMQ554"/>
      <c r="JMR554"/>
      <c r="JMS554"/>
      <c r="JMT554"/>
      <c r="JMU554"/>
      <c r="JMV554"/>
      <c r="JMW554"/>
      <c r="JMX554"/>
      <c r="JMY554"/>
      <c r="JMZ554"/>
      <c r="JNA554"/>
      <c r="JNB554"/>
      <c r="JNC554"/>
      <c r="JND554"/>
      <c r="JNE554"/>
      <c r="JNF554"/>
      <c r="JNG554"/>
      <c r="JNH554"/>
      <c r="JNI554"/>
      <c r="JNJ554"/>
      <c r="JNK554"/>
      <c r="JNL554"/>
      <c r="JNM554"/>
      <c r="JNN554"/>
      <c r="JNO554"/>
      <c r="JNP554"/>
      <c r="JNQ554"/>
      <c r="JNR554"/>
      <c r="JNS554"/>
      <c r="JNT554"/>
      <c r="JNU554"/>
      <c r="JNV554"/>
      <c r="JNW554"/>
      <c r="JNX554"/>
      <c r="JNY554"/>
      <c r="JNZ554"/>
      <c r="JOA554"/>
      <c r="JOB554"/>
      <c r="JOC554"/>
      <c r="JOD554"/>
      <c r="JOE554"/>
      <c r="JOF554"/>
      <c r="JOG554"/>
      <c r="JOH554"/>
      <c r="JOI554"/>
      <c r="JOJ554"/>
      <c r="JOK554"/>
      <c r="JOL554"/>
      <c r="JOM554"/>
      <c r="JON554"/>
      <c r="JOO554"/>
      <c r="JOP554"/>
      <c r="JOQ554"/>
      <c r="JOR554"/>
      <c r="JOS554"/>
      <c r="JOT554"/>
      <c r="JOU554"/>
      <c r="JOV554"/>
      <c r="JOW554"/>
      <c r="JOX554"/>
      <c r="JOY554"/>
      <c r="JOZ554"/>
      <c r="JPA554"/>
      <c r="JPB554"/>
      <c r="JPC554"/>
      <c r="JPD554"/>
      <c r="JPE554"/>
      <c r="JPF554"/>
      <c r="JPG554"/>
      <c r="JPH554"/>
      <c r="JPI554"/>
      <c r="JPJ554"/>
      <c r="JPK554"/>
      <c r="JPL554"/>
      <c r="JPM554"/>
      <c r="JPN554"/>
      <c r="JPO554"/>
      <c r="JPP554"/>
      <c r="JPQ554"/>
      <c r="JPR554"/>
      <c r="JPS554"/>
      <c r="JPT554"/>
      <c r="JPU554"/>
      <c r="JPV554"/>
      <c r="JPW554"/>
      <c r="JPX554"/>
      <c r="JPY554"/>
      <c r="JPZ554"/>
      <c r="JQA554"/>
      <c r="JQB554"/>
      <c r="JQC554"/>
      <c r="JQD554"/>
      <c r="JQE554"/>
      <c r="JQF554"/>
      <c r="JQG554"/>
      <c r="JQH554"/>
      <c r="JQI554"/>
      <c r="JQJ554"/>
      <c r="JQK554"/>
      <c r="JQL554"/>
      <c r="JQM554"/>
      <c r="JQN554"/>
      <c r="JQO554"/>
      <c r="JQP554"/>
      <c r="JQQ554"/>
      <c r="JQR554"/>
      <c r="JQS554"/>
      <c r="JQT554"/>
      <c r="JQU554"/>
      <c r="JQV554"/>
      <c r="JQW554"/>
      <c r="JQX554"/>
      <c r="JQY554"/>
      <c r="JQZ554"/>
      <c r="JRA554"/>
      <c r="JRB554"/>
      <c r="JRC554"/>
      <c r="JRD554"/>
      <c r="JRE554"/>
      <c r="JRF554"/>
      <c r="JRG554"/>
      <c r="JRH554"/>
      <c r="JRI554"/>
      <c r="JRJ554"/>
      <c r="JRK554"/>
      <c r="JRL554"/>
      <c r="JRM554"/>
      <c r="JRN554"/>
      <c r="JRO554"/>
      <c r="JRP554"/>
      <c r="JRQ554"/>
      <c r="JRR554"/>
      <c r="JRS554"/>
      <c r="JRT554"/>
      <c r="JRU554"/>
      <c r="JRV554"/>
      <c r="JRW554"/>
      <c r="JRX554"/>
      <c r="JRY554"/>
      <c r="JRZ554"/>
      <c r="JSA554"/>
      <c r="JSB554"/>
      <c r="JSC554"/>
      <c r="JSD554"/>
      <c r="JSE554"/>
      <c r="JSF554"/>
      <c r="JSG554"/>
      <c r="JSH554"/>
      <c r="JSI554"/>
      <c r="JSJ554"/>
      <c r="JSK554"/>
      <c r="JSL554"/>
      <c r="JSM554"/>
      <c r="JSN554"/>
      <c r="JSO554"/>
      <c r="JSP554"/>
      <c r="JSQ554"/>
      <c r="JSR554"/>
      <c r="JSS554"/>
      <c r="JST554"/>
      <c r="JSU554"/>
      <c r="JSV554"/>
      <c r="JSW554"/>
      <c r="JSX554"/>
      <c r="JSY554"/>
      <c r="JSZ554"/>
      <c r="JTA554"/>
      <c r="JTB554"/>
      <c r="JTC554"/>
      <c r="JTD554"/>
      <c r="JTE554"/>
      <c r="JTF554"/>
      <c r="JTG554"/>
      <c r="JTH554"/>
      <c r="JTI554"/>
      <c r="JTJ554"/>
      <c r="JTK554"/>
      <c r="JTL554"/>
      <c r="JTM554"/>
      <c r="JTN554"/>
      <c r="JTO554"/>
      <c r="JTP554"/>
      <c r="JTQ554"/>
      <c r="JTR554"/>
      <c r="JTS554"/>
      <c r="JTT554"/>
      <c r="JTU554"/>
      <c r="JTV554"/>
      <c r="JTW554"/>
      <c r="JTX554"/>
      <c r="JTY554"/>
      <c r="JTZ554"/>
      <c r="JUA554"/>
      <c r="JUB554"/>
      <c r="JUC554"/>
      <c r="JUD554"/>
      <c r="JUE554"/>
      <c r="JUF554"/>
      <c r="JUG554"/>
      <c r="JUH554"/>
      <c r="JUI554"/>
      <c r="JUJ554"/>
      <c r="JUK554"/>
      <c r="JUL554"/>
      <c r="JUM554"/>
      <c r="JUN554"/>
      <c r="JUO554"/>
      <c r="JUP554"/>
      <c r="JUQ554"/>
      <c r="JUR554"/>
      <c r="JUS554"/>
      <c r="JUT554"/>
      <c r="JUU554"/>
      <c r="JUV554"/>
      <c r="JUW554"/>
      <c r="JUX554"/>
      <c r="JUY554"/>
      <c r="JUZ554"/>
      <c r="JVA554"/>
      <c r="JVB554"/>
      <c r="JVC554"/>
      <c r="JVD554"/>
      <c r="JVE554"/>
      <c r="JVF554"/>
      <c r="JVG554"/>
      <c r="JVH554"/>
      <c r="JVI554"/>
      <c r="JVJ554"/>
      <c r="JVK554"/>
      <c r="JVL554"/>
      <c r="JVM554"/>
      <c r="JVN554"/>
      <c r="JVO554"/>
      <c r="JVP554"/>
      <c r="JVQ554"/>
      <c r="JVR554"/>
      <c r="JVS554"/>
      <c r="JVT554"/>
      <c r="JVU554"/>
      <c r="JVV554"/>
      <c r="JVW554"/>
      <c r="JVX554"/>
      <c r="JVY554"/>
      <c r="JVZ554"/>
      <c r="JWA554"/>
      <c r="JWB554"/>
      <c r="JWC554"/>
      <c r="JWD554"/>
      <c r="JWE554"/>
      <c r="JWF554"/>
      <c r="JWG554"/>
      <c r="JWH554"/>
      <c r="JWI554"/>
      <c r="JWJ554"/>
      <c r="JWK554"/>
      <c r="JWL554"/>
      <c r="JWM554"/>
      <c r="JWN554"/>
      <c r="JWO554"/>
      <c r="JWP554"/>
      <c r="JWQ554"/>
      <c r="JWR554"/>
      <c r="JWS554"/>
      <c r="JWT554"/>
      <c r="JWU554"/>
      <c r="JWV554"/>
      <c r="JWW554"/>
      <c r="JWX554"/>
      <c r="JWY554"/>
      <c r="JWZ554"/>
      <c r="JXA554"/>
      <c r="JXB554"/>
      <c r="JXC554"/>
      <c r="JXD554"/>
      <c r="JXE554"/>
      <c r="JXF554"/>
      <c r="JXG554"/>
      <c r="JXH554"/>
      <c r="JXI554"/>
      <c r="JXJ554"/>
      <c r="JXK554"/>
      <c r="JXL554"/>
      <c r="JXM554"/>
      <c r="JXN554"/>
      <c r="JXO554"/>
      <c r="JXP554"/>
      <c r="JXQ554"/>
      <c r="JXR554"/>
      <c r="JXS554"/>
      <c r="JXT554"/>
      <c r="JXU554"/>
      <c r="JXV554"/>
      <c r="JXW554"/>
      <c r="JXX554"/>
      <c r="JXY554"/>
      <c r="JXZ554"/>
      <c r="JYA554"/>
      <c r="JYB554"/>
      <c r="JYC554"/>
      <c r="JYD554"/>
      <c r="JYE554"/>
      <c r="JYF554"/>
      <c r="JYG554"/>
      <c r="JYH554"/>
      <c r="JYI554"/>
      <c r="JYJ554"/>
      <c r="JYK554"/>
      <c r="JYL554"/>
      <c r="JYM554"/>
      <c r="JYN554"/>
      <c r="JYO554"/>
      <c r="JYP554"/>
      <c r="JYQ554"/>
      <c r="JYR554"/>
      <c r="JYS554"/>
      <c r="JYT554"/>
      <c r="JYU554"/>
      <c r="JYV554"/>
      <c r="JYW554"/>
      <c r="JYX554"/>
      <c r="JYY554"/>
      <c r="JYZ554"/>
      <c r="JZA554"/>
      <c r="JZB554"/>
      <c r="JZC554"/>
      <c r="JZD554"/>
      <c r="JZE554"/>
      <c r="JZF554"/>
      <c r="JZG554"/>
      <c r="JZH554"/>
      <c r="JZI554"/>
      <c r="JZJ554"/>
      <c r="JZK554"/>
      <c r="JZL554"/>
      <c r="JZM554"/>
      <c r="JZN554"/>
      <c r="JZO554"/>
      <c r="JZP554"/>
      <c r="JZQ554"/>
      <c r="JZR554"/>
      <c r="JZS554"/>
      <c r="JZT554"/>
      <c r="JZU554"/>
      <c r="JZV554"/>
      <c r="JZW554"/>
      <c r="JZX554"/>
      <c r="JZY554"/>
      <c r="JZZ554"/>
      <c r="KAA554"/>
      <c r="KAB554"/>
      <c r="KAC554"/>
      <c r="KAD554"/>
      <c r="KAE554"/>
      <c r="KAF554"/>
      <c r="KAG554"/>
      <c r="KAH554"/>
      <c r="KAI554"/>
      <c r="KAJ554"/>
      <c r="KAK554"/>
      <c r="KAL554"/>
      <c r="KAM554"/>
      <c r="KAN554"/>
      <c r="KAO554"/>
      <c r="KAP554"/>
      <c r="KAQ554"/>
      <c r="KAR554"/>
      <c r="KAS554"/>
      <c r="KAT554"/>
      <c r="KAU554"/>
      <c r="KAV554"/>
      <c r="KAW554"/>
      <c r="KAX554"/>
      <c r="KAY554"/>
      <c r="KAZ554"/>
      <c r="KBA554"/>
      <c r="KBB554"/>
      <c r="KBC554"/>
      <c r="KBD554"/>
      <c r="KBE554"/>
      <c r="KBF554"/>
      <c r="KBG554"/>
      <c r="KBH554"/>
      <c r="KBI554"/>
      <c r="KBJ554"/>
      <c r="KBK554"/>
      <c r="KBL554"/>
      <c r="KBM554"/>
      <c r="KBN554"/>
      <c r="KBO554"/>
      <c r="KBP554"/>
      <c r="KBQ554"/>
      <c r="KBR554"/>
      <c r="KBS554"/>
      <c r="KBT554"/>
      <c r="KBU554"/>
      <c r="KBV554"/>
      <c r="KBW554"/>
      <c r="KBX554"/>
      <c r="KBY554"/>
      <c r="KBZ554"/>
      <c r="KCA554"/>
      <c r="KCB554"/>
      <c r="KCC554"/>
      <c r="KCD554"/>
      <c r="KCE554"/>
      <c r="KCF554"/>
      <c r="KCG554"/>
      <c r="KCH554"/>
      <c r="KCI554"/>
      <c r="KCJ554"/>
      <c r="KCK554"/>
      <c r="KCL554"/>
      <c r="KCM554"/>
      <c r="KCN554"/>
      <c r="KCO554"/>
      <c r="KCP554"/>
      <c r="KCQ554"/>
      <c r="KCR554"/>
      <c r="KCS554"/>
      <c r="KCT554"/>
      <c r="KCU554"/>
      <c r="KCV554"/>
      <c r="KCW554"/>
      <c r="KCX554"/>
      <c r="KCY554"/>
      <c r="KCZ554"/>
      <c r="KDA554"/>
      <c r="KDB554"/>
      <c r="KDC554"/>
      <c r="KDD554"/>
      <c r="KDE554"/>
      <c r="KDF554"/>
      <c r="KDG554"/>
      <c r="KDH554"/>
      <c r="KDI554"/>
      <c r="KDJ554"/>
      <c r="KDK554"/>
      <c r="KDL554"/>
      <c r="KDM554"/>
      <c r="KDN554"/>
      <c r="KDO554"/>
      <c r="KDP554"/>
      <c r="KDQ554"/>
      <c r="KDR554"/>
      <c r="KDS554"/>
      <c r="KDT554"/>
      <c r="KDU554"/>
      <c r="KDV554"/>
      <c r="KDW554"/>
      <c r="KDX554"/>
      <c r="KDY554"/>
      <c r="KDZ554"/>
      <c r="KEA554"/>
      <c r="KEB554"/>
      <c r="KEC554"/>
      <c r="KED554"/>
      <c r="KEE554"/>
      <c r="KEF554"/>
      <c r="KEG554"/>
      <c r="KEH554"/>
      <c r="KEI554"/>
      <c r="KEJ554"/>
      <c r="KEK554"/>
      <c r="KEL554"/>
      <c r="KEM554"/>
      <c r="KEN554"/>
      <c r="KEO554"/>
      <c r="KEP554"/>
      <c r="KEQ554"/>
      <c r="KER554"/>
      <c r="KES554"/>
      <c r="KET554"/>
      <c r="KEU554"/>
      <c r="KEV554"/>
      <c r="KEW554"/>
      <c r="KEX554"/>
      <c r="KEY554"/>
      <c r="KEZ554"/>
      <c r="KFA554"/>
      <c r="KFB554"/>
      <c r="KFC554"/>
      <c r="KFD554"/>
      <c r="KFE554"/>
      <c r="KFF554"/>
      <c r="KFG554"/>
      <c r="KFH554"/>
      <c r="KFI554"/>
      <c r="KFJ554"/>
      <c r="KFK554"/>
      <c r="KFL554"/>
      <c r="KFM554"/>
      <c r="KFN554"/>
      <c r="KFO554"/>
      <c r="KFP554"/>
      <c r="KFQ554"/>
      <c r="KFR554"/>
      <c r="KFS554"/>
      <c r="KFT554"/>
      <c r="KFU554"/>
      <c r="KFV554"/>
      <c r="KFW554"/>
      <c r="KFX554"/>
      <c r="KFY554"/>
      <c r="KFZ554"/>
      <c r="KGA554"/>
      <c r="KGB554"/>
      <c r="KGC554"/>
      <c r="KGD554"/>
      <c r="KGE554"/>
      <c r="KGF554"/>
      <c r="KGG554"/>
      <c r="KGH554"/>
      <c r="KGI554"/>
      <c r="KGJ554"/>
      <c r="KGK554"/>
      <c r="KGL554"/>
      <c r="KGM554"/>
      <c r="KGN554"/>
      <c r="KGO554"/>
      <c r="KGP554"/>
      <c r="KGQ554"/>
      <c r="KGR554"/>
      <c r="KGS554"/>
      <c r="KGT554"/>
      <c r="KGU554"/>
      <c r="KGV554"/>
      <c r="KGW554"/>
      <c r="KGX554"/>
      <c r="KGY554"/>
      <c r="KGZ554"/>
      <c r="KHA554"/>
      <c r="KHB554"/>
      <c r="KHC554"/>
      <c r="KHD554"/>
      <c r="KHE554"/>
      <c r="KHF554"/>
      <c r="KHG554"/>
      <c r="KHH554"/>
      <c r="KHI554"/>
      <c r="KHJ554"/>
      <c r="KHK554"/>
      <c r="KHL554"/>
      <c r="KHM554"/>
      <c r="KHN554"/>
      <c r="KHO554"/>
      <c r="KHP554"/>
      <c r="KHQ554"/>
      <c r="KHR554"/>
      <c r="KHS554"/>
      <c r="KHT554"/>
      <c r="KHU554"/>
      <c r="KHV554"/>
      <c r="KHW554"/>
      <c r="KHX554"/>
      <c r="KHY554"/>
      <c r="KHZ554"/>
      <c r="KIA554"/>
      <c r="KIB554"/>
      <c r="KIC554"/>
      <c r="KID554"/>
      <c r="KIE554"/>
      <c r="KIF554"/>
      <c r="KIG554"/>
      <c r="KIH554"/>
      <c r="KII554"/>
      <c r="KIJ554"/>
      <c r="KIK554"/>
      <c r="KIL554"/>
      <c r="KIM554"/>
      <c r="KIN554"/>
      <c r="KIO554"/>
      <c r="KIP554"/>
      <c r="KIQ554"/>
      <c r="KIR554"/>
      <c r="KIS554"/>
      <c r="KIT554"/>
      <c r="KIU554"/>
      <c r="KIV554"/>
      <c r="KIW554"/>
      <c r="KIX554"/>
      <c r="KIY554"/>
      <c r="KIZ554"/>
      <c r="KJA554"/>
      <c r="KJB554"/>
      <c r="KJC554"/>
      <c r="KJD554"/>
      <c r="KJE554"/>
      <c r="KJF554"/>
      <c r="KJG554"/>
      <c r="KJH554"/>
      <c r="KJI554"/>
      <c r="KJJ554"/>
      <c r="KJK554"/>
      <c r="KJL554"/>
      <c r="KJM554"/>
      <c r="KJN554"/>
      <c r="KJO554"/>
      <c r="KJP554"/>
      <c r="KJQ554"/>
      <c r="KJR554"/>
      <c r="KJS554"/>
      <c r="KJT554"/>
      <c r="KJU554"/>
      <c r="KJV554"/>
      <c r="KJW554"/>
      <c r="KJX554"/>
      <c r="KJY554"/>
      <c r="KJZ554"/>
      <c r="KKA554"/>
      <c r="KKB554"/>
      <c r="KKC554"/>
      <c r="KKD554"/>
      <c r="KKE554"/>
      <c r="KKF554"/>
      <c r="KKG554"/>
      <c r="KKH554"/>
      <c r="KKI554"/>
      <c r="KKJ554"/>
      <c r="KKK554"/>
      <c r="KKL554"/>
      <c r="KKM554"/>
      <c r="KKN554"/>
      <c r="KKO554"/>
      <c r="KKP554"/>
      <c r="KKQ554"/>
      <c r="KKR554"/>
      <c r="KKS554"/>
      <c r="KKT554"/>
      <c r="KKU554"/>
      <c r="KKV554"/>
      <c r="KKW554"/>
      <c r="KKX554"/>
      <c r="KKY554"/>
      <c r="KKZ554"/>
      <c r="KLA554"/>
      <c r="KLB554"/>
      <c r="KLC554"/>
      <c r="KLD554"/>
      <c r="KLE554"/>
      <c r="KLF554"/>
      <c r="KLG554"/>
      <c r="KLH554"/>
      <c r="KLI554"/>
      <c r="KLJ554"/>
      <c r="KLK554"/>
      <c r="KLL554"/>
      <c r="KLM554"/>
      <c r="KLN554"/>
      <c r="KLO554"/>
      <c r="KLP554"/>
      <c r="KLQ554"/>
      <c r="KLR554"/>
      <c r="KLS554"/>
      <c r="KLT554"/>
      <c r="KLU554"/>
      <c r="KLV554"/>
      <c r="KLW554"/>
      <c r="KLX554"/>
      <c r="KLY554"/>
      <c r="KLZ554"/>
      <c r="KMA554"/>
      <c r="KMB554"/>
      <c r="KMC554"/>
      <c r="KMD554"/>
      <c r="KME554"/>
      <c r="KMF554"/>
      <c r="KMG554"/>
      <c r="KMH554"/>
      <c r="KMI554"/>
      <c r="KMJ554"/>
      <c r="KMK554"/>
      <c r="KML554"/>
      <c r="KMM554"/>
      <c r="KMN554"/>
      <c r="KMO554"/>
      <c r="KMP554"/>
      <c r="KMQ554"/>
      <c r="KMR554"/>
      <c r="KMS554"/>
      <c r="KMT554"/>
      <c r="KMU554"/>
      <c r="KMV554"/>
      <c r="KMW554"/>
      <c r="KMX554"/>
      <c r="KMY554"/>
      <c r="KMZ554"/>
      <c r="KNA554"/>
      <c r="KNB554"/>
      <c r="KNC554"/>
      <c r="KND554"/>
      <c r="KNE554"/>
      <c r="KNF554"/>
      <c r="KNG554"/>
      <c r="KNH554"/>
      <c r="KNI554"/>
      <c r="KNJ554"/>
      <c r="KNK554"/>
      <c r="KNL554"/>
      <c r="KNM554"/>
      <c r="KNN554"/>
      <c r="KNO554"/>
      <c r="KNP554"/>
      <c r="KNQ554"/>
      <c r="KNR554"/>
      <c r="KNS554"/>
      <c r="KNT554"/>
      <c r="KNU554"/>
      <c r="KNV554"/>
      <c r="KNW554"/>
      <c r="KNX554"/>
      <c r="KNY554"/>
      <c r="KNZ554"/>
      <c r="KOA554"/>
      <c r="KOB554"/>
      <c r="KOC554"/>
      <c r="KOD554"/>
      <c r="KOE554"/>
      <c r="KOF554"/>
      <c r="KOG554"/>
      <c r="KOH554"/>
      <c r="KOI554"/>
      <c r="KOJ554"/>
      <c r="KOK554"/>
      <c r="KOL554"/>
      <c r="KOM554"/>
      <c r="KON554"/>
      <c r="KOO554"/>
      <c r="KOP554"/>
      <c r="KOQ554"/>
      <c r="KOR554"/>
      <c r="KOS554"/>
      <c r="KOT554"/>
      <c r="KOU554"/>
      <c r="KOV554"/>
      <c r="KOW554"/>
      <c r="KOX554"/>
      <c r="KOY554"/>
      <c r="KOZ554"/>
      <c r="KPA554"/>
      <c r="KPB554"/>
      <c r="KPC554"/>
      <c r="KPD554"/>
      <c r="KPE554"/>
      <c r="KPF554"/>
      <c r="KPG554"/>
      <c r="KPH554"/>
      <c r="KPI554"/>
      <c r="KPJ554"/>
      <c r="KPK554"/>
      <c r="KPL554"/>
      <c r="KPM554"/>
      <c r="KPN554"/>
      <c r="KPO554"/>
      <c r="KPP554"/>
      <c r="KPQ554"/>
      <c r="KPR554"/>
      <c r="KPS554"/>
      <c r="KPT554"/>
      <c r="KPU554"/>
      <c r="KPV554"/>
      <c r="KPW554"/>
      <c r="KPX554"/>
      <c r="KPY554"/>
      <c r="KPZ554"/>
      <c r="KQA554"/>
      <c r="KQB554"/>
      <c r="KQC554"/>
      <c r="KQD554"/>
      <c r="KQE554"/>
      <c r="KQF554"/>
      <c r="KQG554"/>
      <c r="KQH554"/>
      <c r="KQI554"/>
      <c r="KQJ554"/>
      <c r="KQK554"/>
      <c r="KQL554"/>
      <c r="KQM554"/>
      <c r="KQN554"/>
      <c r="KQO554"/>
      <c r="KQP554"/>
      <c r="KQQ554"/>
      <c r="KQR554"/>
      <c r="KQS554"/>
      <c r="KQT554"/>
      <c r="KQU554"/>
      <c r="KQV554"/>
      <c r="KQW554"/>
      <c r="KQX554"/>
      <c r="KQY554"/>
      <c r="KQZ554"/>
      <c r="KRA554"/>
      <c r="KRB554"/>
      <c r="KRC554"/>
      <c r="KRD554"/>
      <c r="KRE554"/>
      <c r="KRF554"/>
      <c r="KRG554"/>
      <c r="KRH554"/>
      <c r="KRI554"/>
      <c r="KRJ554"/>
      <c r="KRK554"/>
      <c r="KRL554"/>
      <c r="KRM554"/>
      <c r="KRN554"/>
      <c r="KRO554"/>
      <c r="KRP554"/>
      <c r="KRQ554"/>
      <c r="KRR554"/>
      <c r="KRS554"/>
      <c r="KRT554"/>
      <c r="KRU554"/>
      <c r="KRV554"/>
      <c r="KRW554"/>
      <c r="KRX554"/>
      <c r="KRY554"/>
      <c r="KRZ554"/>
      <c r="KSA554"/>
      <c r="KSB554"/>
      <c r="KSC554"/>
      <c r="KSD554"/>
      <c r="KSE554"/>
      <c r="KSF554"/>
      <c r="KSG554"/>
      <c r="KSH554"/>
      <c r="KSI554"/>
      <c r="KSJ554"/>
      <c r="KSK554"/>
      <c r="KSL554"/>
      <c r="KSM554"/>
      <c r="KSN554"/>
      <c r="KSO554"/>
      <c r="KSP554"/>
      <c r="KSQ554"/>
      <c r="KSR554"/>
      <c r="KSS554"/>
      <c r="KST554"/>
      <c r="KSU554"/>
      <c r="KSV554"/>
      <c r="KSW554"/>
      <c r="KSX554"/>
      <c r="KSY554"/>
      <c r="KSZ554"/>
      <c r="KTA554"/>
      <c r="KTB554"/>
      <c r="KTC554"/>
      <c r="KTD554"/>
      <c r="KTE554"/>
      <c r="KTF554"/>
      <c r="KTG554"/>
      <c r="KTH554"/>
      <c r="KTI554"/>
      <c r="KTJ554"/>
      <c r="KTK554"/>
      <c r="KTL554"/>
      <c r="KTM554"/>
      <c r="KTN554"/>
      <c r="KTO554"/>
      <c r="KTP554"/>
      <c r="KTQ554"/>
      <c r="KTR554"/>
      <c r="KTS554"/>
      <c r="KTT554"/>
      <c r="KTU554"/>
      <c r="KTV554"/>
      <c r="KTW554"/>
      <c r="KTX554"/>
      <c r="KTY554"/>
      <c r="KTZ554"/>
      <c r="KUA554"/>
      <c r="KUB554"/>
      <c r="KUC554"/>
      <c r="KUD554"/>
      <c r="KUE554"/>
      <c r="KUF554"/>
      <c r="KUG554"/>
      <c r="KUH554"/>
      <c r="KUI554"/>
      <c r="KUJ554"/>
      <c r="KUK554"/>
      <c r="KUL554"/>
      <c r="KUM554"/>
      <c r="KUN554"/>
      <c r="KUO554"/>
      <c r="KUP554"/>
      <c r="KUQ554"/>
      <c r="KUR554"/>
      <c r="KUS554"/>
      <c r="KUT554"/>
      <c r="KUU554"/>
      <c r="KUV554"/>
      <c r="KUW554"/>
      <c r="KUX554"/>
      <c r="KUY554"/>
      <c r="KUZ554"/>
      <c r="KVA554"/>
      <c r="KVB554"/>
      <c r="KVC554"/>
      <c r="KVD554"/>
      <c r="KVE554"/>
      <c r="KVF554"/>
      <c r="KVG554"/>
      <c r="KVH554"/>
      <c r="KVI554"/>
      <c r="KVJ554"/>
      <c r="KVK554"/>
      <c r="KVL554"/>
      <c r="KVM554"/>
      <c r="KVN554"/>
      <c r="KVO554"/>
      <c r="KVP554"/>
      <c r="KVQ554"/>
      <c r="KVR554"/>
      <c r="KVS554"/>
      <c r="KVT554"/>
      <c r="KVU554"/>
      <c r="KVV554"/>
      <c r="KVW554"/>
      <c r="KVX554"/>
      <c r="KVY554"/>
      <c r="KVZ554"/>
      <c r="KWA554"/>
      <c r="KWB554"/>
      <c r="KWC554"/>
      <c r="KWD554"/>
      <c r="KWE554"/>
      <c r="KWF554"/>
      <c r="KWG554"/>
      <c r="KWH554"/>
      <c r="KWI554"/>
      <c r="KWJ554"/>
      <c r="KWK554"/>
      <c r="KWL554"/>
      <c r="KWM554"/>
      <c r="KWN554"/>
      <c r="KWO554"/>
      <c r="KWP554"/>
      <c r="KWQ554"/>
      <c r="KWR554"/>
      <c r="KWS554"/>
      <c r="KWT554"/>
      <c r="KWU554"/>
      <c r="KWV554"/>
      <c r="KWW554"/>
      <c r="KWX554"/>
      <c r="KWY554"/>
      <c r="KWZ554"/>
      <c r="KXA554"/>
      <c r="KXB554"/>
      <c r="KXC554"/>
      <c r="KXD554"/>
      <c r="KXE554"/>
      <c r="KXF554"/>
      <c r="KXG554"/>
      <c r="KXH554"/>
      <c r="KXI554"/>
      <c r="KXJ554"/>
      <c r="KXK554"/>
      <c r="KXL554"/>
      <c r="KXM554"/>
      <c r="KXN554"/>
      <c r="KXO554"/>
      <c r="KXP554"/>
      <c r="KXQ554"/>
      <c r="KXR554"/>
      <c r="KXS554"/>
      <c r="KXT554"/>
      <c r="KXU554"/>
      <c r="KXV554"/>
      <c r="KXW554"/>
      <c r="KXX554"/>
      <c r="KXY554"/>
      <c r="KXZ554"/>
      <c r="KYA554"/>
      <c r="KYB554"/>
      <c r="KYC554"/>
      <c r="KYD554"/>
      <c r="KYE554"/>
      <c r="KYF554"/>
      <c r="KYG554"/>
      <c r="KYH554"/>
      <c r="KYI554"/>
      <c r="KYJ554"/>
      <c r="KYK554"/>
      <c r="KYL554"/>
      <c r="KYM554"/>
      <c r="KYN554"/>
      <c r="KYO554"/>
      <c r="KYP554"/>
      <c r="KYQ554"/>
      <c r="KYR554"/>
      <c r="KYS554"/>
      <c r="KYT554"/>
      <c r="KYU554"/>
      <c r="KYV554"/>
      <c r="KYW554"/>
      <c r="KYX554"/>
      <c r="KYY554"/>
      <c r="KYZ554"/>
      <c r="KZA554"/>
      <c r="KZB554"/>
      <c r="KZC554"/>
      <c r="KZD554"/>
      <c r="KZE554"/>
      <c r="KZF554"/>
      <c r="KZG554"/>
      <c r="KZH554"/>
      <c r="KZI554"/>
      <c r="KZJ554"/>
      <c r="KZK554"/>
      <c r="KZL554"/>
      <c r="KZM554"/>
      <c r="KZN554"/>
      <c r="KZO554"/>
      <c r="KZP554"/>
      <c r="KZQ554"/>
      <c r="KZR554"/>
      <c r="KZS554"/>
      <c r="KZT554"/>
      <c r="KZU554"/>
      <c r="KZV554"/>
      <c r="KZW554"/>
      <c r="KZX554"/>
      <c r="KZY554"/>
      <c r="KZZ554"/>
      <c r="LAA554"/>
      <c r="LAB554"/>
      <c r="LAC554"/>
      <c r="LAD554"/>
      <c r="LAE554"/>
      <c r="LAF554"/>
      <c r="LAG554"/>
      <c r="LAH554"/>
      <c r="LAI554"/>
      <c r="LAJ554"/>
      <c r="LAK554"/>
      <c r="LAL554"/>
      <c r="LAM554"/>
      <c r="LAN554"/>
      <c r="LAO554"/>
      <c r="LAP554"/>
      <c r="LAQ554"/>
      <c r="LAR554"/>
      <c r="LAS554"/>
      <c r="LAT554"/>
      <c r="LAU554"/>
      <c r="LAV554"/>
      <c r="LAW554"/>
      <c r="LAX554"/>
      <c r="LAY554"/>
      <c r="LAZ554"/>
      <c r="LBA554"/>
      <c r="LBB554"/>
      <c r="LBC554"/>
      <c r="LBD554"/>
      <c r="LBE554"/>
      <c r="LBF554"/>
      <c r="LBG554"/>
      <c r="LBH554"/>
      <c r="LBI554"/>
      <c r="LBJ554"/>
      <c r="LBK554"/>
      <c r="LBL554"/>
      <c r="LBM554"/>
      <c r="LBN554"/>
      <c r="LBO554"/>
      <c r="LBP554"/>
      <c r="LBQ554"/>
      <c r="LBR554"/>
      <c r="LBS554"/>
      <c r="LBT554"/>
      <c r="LBU554"/>
      <c r="LBV554"/>
      <c r="LBW554"/>
      <c r="LBX554"/>
      <c r="LBY554"/>
      <c r="LBZ554"/>
      <c r="LCA554"/>
      <c r="LCB554"/>
      <c r="LCC554"/>
      <c r="LCD554"/>
      <c r="LCE554"/>
      <c r="LCF554"/>
      <c r="LCG554"/>
      <c r="LCH554"/>
      <c r="LCI554"/>
      <c r="LCJ554"/>
      <c r="LCK554"/>
      <c r="LCL554"/>
      <c r="LCM554"/>
      <c r="LCN554"/>
      <c r="LCO554"/>
      <c r="LCP554"/>
      <c r="LCQ554"/>
      <c r="LCR554"/>
      <c r="LCS554"/>
      <c r="LCT554"/>
      <c r="LCU554"/>
      <c r="LCV554"/>
      <c r="LCW554"/>
      <c r="LCX554"/>
      <c r="LCY554"/>
      <c r="LCZ554"/>
      <c r="LDA554"/>
      <c r="LDB554"/>
      <c r="LDC554"/>
      <c r="LDD554"/>
      <c r="LDE554"/>
      <c r="LDF554"/>
      <c r="LDG554"/>
      <c r="LDH554"/>
      <c r="LDI554"/>
      <c r="LDJ554"/>
      <c r="LDK554"/>
      <c r="LDL554"/>
      <c r="LDM554"/>
      <c r="LDN554"/>
      <c r="LDO554"/>
      <c r="LDP554"/>
      <c r="LDQ554"/>
      <c r="LDR554"/>
      <c r="LDS554"/>
      <c r="LDT554"/>
      <c r="LDU554"/>
      <c r="LDV554"/>
      <c r="LDW554"/>
      <c r="LDX554"/>
      <c r="LDY554"/>
      <c r="LDZ554"/>
      <c r="LEA554"/>
      <c r="LEB554"/>
      <c r="LEC554"/>
      <c r="LED554"/>
      <c r="LEE554"/>
      <c r="LEF554"/>
      <c r="LEG554"/>
      <c r="LEH554"/>
      <c r="LEI554"/>
      <c r="LEJ554"/>
      <c r="LEK554"/>
      <c r="LEL554"/>
      <c r="LEM554"/>
      <c r="LEN554"/>
      <c r="LEO554"/>
      <c r="LEP554"/>
      <c r="LEQ554"/>
      <c r="LER554"/>
      <c r="LES554"/>
      <c r="LET554"/>
      <c r="LEU554"/>
      <c r="LEV554"/>
      <c r="LEW554"/>
      <c r="LEX554"/>
      <c r="LEY554"/>
      <c r="LEZ554"/>
      <c r="LFA554"/>
      <c r="LFB554"/>
      <c r="LFC554"/>
      <c r="LFD554"/>
      <c r="LFE554"/>
      <c r="LFF554"/>
      <c r="LFG554"/>
      <c r="LFH554"/>
      <c r="LFI554"/>
      <c r="LFJ554"/>
      <c r="LFK554"/>
      <c r="LFL554"/>
      <c r="LFM554"/>
      <c r="LFN554"/>
      <c r="LFO554"/>
      <c r="LFP554"/>
      <c r="LFQ554"/>
      <c r="LFR554"/>
      <c r="LFS554"/>
      <c r="LFT554"/>
      <c r="LFU554"/>
      <c r="LFV554"/>
      <c r="LFW554"/>
      <c r="LFX554"/>
      <c r="LFY554"/>
      <c r="LFZ554"/>
      <c r="LGA554"/>
      <c r="LGB554"/>
      <c r="LGC554"/>
      <c r="LGD554"/>
      <c r="LGE554"/>
      <c r="LGF554"/>
      <c r="LGG554"/>
      <c r="LGH554"/>
      <c r="LGI554"/>
      <c r="LGJ554"/>
      <c r="LGK554"/>
      <c r="LGL554"/>
      <c r="LGM554"/>
      <c r="LGN554"/>
      <c r="LGO554"/>
      <c r="LGP554"/>
      <c r="LGQ554"/>
      <c r="LGR554"/>
      <c r="LGS554"/>
      <c r="LGT554"/>
      <c r="LGU554"/>
      <c r="LGV554"/>
      <c r="LGW554"/>
      <c r="LGX554"/>
      <c r="LGY554"/>
      <c r="LGZ554"/>
      <c r="LHA554"/>
      <c r="LHB554"/>
      <c r="LHC554"/>
      <c r="LHD554"/>
      <c r="LHE554"/>
      <c r="LHF554"/>
      <c r="LHG554"/>
      <c r="LHH554"/>
      <c r="LHI554"/>
      <c r="LHJ554"/>
      <c r="LHK554"/>
      <c r="LHL554"/>
      <c r="LHM554"/>
      <c r="LHN554"/>
      <c r="LHO554"/>
      <c r="LHP554"/>
      <c r="LHQ554"/>
      <c r="LHR554"/>
      <c r="LHS554"/>
      <c r="LHT554"/>
      <c r="LHU554"/>
      <c r="LHV554"/>
      <c r="LHW554"/>
      <c r="LHX554"/>
      <c r="LHY554"/>
      <c r="LHZ554"/>
      <c r="LIA554"/>
      <c r="LIB554"/>
      <c r="LIC554"/>
      <c r="LID554"/>
      <c r="LIE554"/>
      <c r="LIF554"/>
      <c r="LIG554"/>
      <c r="LIH554"/>
      <c r="LII554"/>
      <c r="LIJ554"/>
      <c r="LIK554"/>
      <c r="LIL554"/>
      <c r="LIM554"/>
      <c r="LIN554"/>
      <c r="LIO554"/>
      <c r="LIP554"/>
      <c r="LIQ554"/>
      <c r="LIR554"/>
      <c r="LIS554"/>
      <c r="LIT554"/>
      <c r="LIU554"/>
      <c r="LIV554"/>
      <c r="LIW554"/>
      <c r="LIX554"/>
      <c r="LIY554"/>
      <c r="LIZ554"/>
      <c r="LJA554"/>
      <c r="LJB554"/>
      <c r="LJC554"/>
      <c r="LJD554"/>
      <c r="LJE554"/>
      <c r="LJF554"/>
      <c r="LJG554"/>
      <c r="LJH554"/>
      <c r="LJI554"/>
      <c r="LJJ554"/>
      <c r="LJK554"/>
      <c r="LJL554"/>
      <c r="LJM554"/>
      <c r="LJN554"/>
      <c r="LJO554"/>
      <c r="LJP554"/>
      <c r="LJQ554"/>
      <c r="LJR554"/>
      <c r="LJS554"/>
      <c r="LJT554"/>
      <c r="LJU554"/>
      <c r="LJV554"/>
      <c r="LJW554"/>
      <c r="LJX554"/>
      <c r="LJY554"/>
      <c r="LJZ554"/>
      <c r="LKA554"/>
      <c r="LKB554"/>
      <c r="LKC554"/>
      <c r="LKD554"/>
      <c r="LKE554"/>
      <c r="LKF554"/>
      <c r="LKG554"/>
      <c r="LKH554"/>
      <c r="LKI554"/>
      <c r="LKJ554"/>
      <c r="LKK554"/>
      <c r="LKL554"/>
      <c r="LKM554"/>
      <c r="LKN554"/>
      <c r="LKO554"/>
      <c r="LKP554"/>
      <c r="LKQ554"/>
      <c r="LKR554"/>
      <c r="LKS554"/>
      <c r="LKT554"/>
      <c r="LKU554"/>
      <c r="LKV554"/>
      <c r="LKW554"/>
      <c r="LKX554"/>
      <c r="LKY554"/>
      <c r="LKZ554"/>
      <c r="LLA554"/>
      <c r="LLB554"/>
      <c r="LLC554"/>
      <c r="LLD554"/>
      <c r="LLE554"/>
      <c r="LLF554"/>
      <c r="LLG554"/>
      <c r="LLH554"/>
      <c r="LLI554"/>
      <c r="LLJ554"/>
      <c r="LLK554"/>
      <c r="LLL554"/>
      <c r="LLM554"/>
      <c r="LLN554"/>
      <c r="LLO554"/>
      <c r="LLP554"/>
      <c r="LLQ554"/>
      <c r="LLR554"/>
      <c r="LLS554"/>
      <c r="LLT554"/>
      <c r="LLU554"/>
      <c r="LLV554"/>
      <c r="LLW554"/>
      <c r="LLX554"/>
      <c r="LLY554"/>
      <c r="LLZ554"/>
      <c r="LMA554"/>
      <c r="LMB554"/>
      <c r="LMC554"/>
      <c r="LMD554"/>
      <c r="LME554"/>
      <c r="LMF554"/>
      <c r="LMG554"/>
      <c r="LMH554"/>
      <c r="LMI554"/>
      <c r="LMJ554"/>
      <c r="LMK554"/>
      <c r="LML554"/>
      <c r="LMM554"/>
      <c r="LMN554"/>
      <c r="LMO554"/>
      <c r="LMP554"/>
      <c r="LMQ554"/>
      <c r="LMR554"/>
      <c r="LMS554"/>
      <c r="LMT554"/>
      <c r="LMU554"/>
      <c r="LMV554"/>
      <c r="LMW554"/>
      <c r="LMX554"/>
      <c r="LMY554"/>
      <c r="LMZ554"/>
      <c r="LNA554"/>
      <c r="LNB554"/>
      <c r="LNC554"/>
      <c r="LND554"/>
      <c r="LNE554"/>
      <c r="LNF554"/>
      <c r="LNG554"/>
      <c r="LNH554"/>
      <c r="LNI554"/>
      <c r="LNJ554"/>
      <c r="LNK554"/>
      <c r="LNL554"/>
      <c r="LNM554"/>
      <c r="LNN554"/>
      <c r="LNO554"/>
      <c r="LNP554"/>
      <c r="LNQ554"/>
      <c r="LNR554"/>
      <c r="LNS554"/>
      <c r="LNT554"/>
      <c r="LNU554"/>
      <c r="LNV554"/>
      <c r="LNW554"/>
      <c r="LNX554"/>
      <c r="LNY554"/>
      <c r="LNZ554"/>
      <c r="LOA554"/>
      <c r="LOB554"/>
      <c r="LOC554"/>
      <c r="LOD554"/>
      <c r="LOE554"/>
      <c r="LOF554"/>
      <c r="LOG554"/>
      <c r="LOH554"/>
      <c r="LOI554"/>
      <c r="LOJ554"/>
      <c r="LOK554"/>
      <c r="LOL554"/>
      <c r="LOM554"/>
      <c r="LON554"/>
      <c r="LOO554"/>
      <c r="LOP554"/>
      <c r="LOQ554"/>
      <c r="LOR554"/>
      <c r="LOS554"/>
      <c r="LOT554"/>
      <c r="LOU554"/>
      <c r="LOV554"/>
      <c r="LOW554"/>
      <c r="LOX554"/>
      <c r="LOY554"/>
      <c r="LOZ554"/>
      <c r="LPA554"/>
      <c r="LPB554"/>
      <c r="LPC554"/>
      <c r="LPD554"/>
      <c r="LPE554"/>
      <c r="LPF554"/>
      <c r="LPG554"/>
      <c r="LPH554"/>
      <c r="LPI554"/>
      <c r="LPJ554"/>
      <c r="LPK554"/>
      <c r="LPL554"/>
      <c r="LPM554"/>
      <c r="LPN554"/>
      <c r="LPO554"/>
      <c r="LPP554"/>
      <c r="LPQ554"/>
      <c r="LPR554"/>
      <c r="LPS554"/>
      <c r="LPT554"/>
      <c r="LPU554"/>
      <c r="LPV554"/>
      <c r="LPW554"/>
      <c r="LPX554"/>
      <c r="LPY554"/>
      <c r="LPZ554"/>
      <c r="LQA554"/>
      <c r="LQB554"/>
      <c r="LQC554"/>
      <c r="LQD554"/>
      <c r="LQE554"/>
      <c r="LQF554"/>
      <c r="LQG554"/>
      <c r="LQH554"/>
      <c r="LQI554"/>
      <c r="LQJ554"/>
      <c r="LQK554"/>
      <c r="LQL554"/>
      <c r="LQM554"/>
      <c r="LQN554"/>
      <c r="LQO554"/>
      <c r="LQP554"/>
      <c r="LQQ554"/>
      <c r="LQR554"/>
      <c r="LQS554"/>
      <c r="LQT554"/>
      <c r="LQU554"/>
      <c r="LQV554"/>
      <c r="LQW554"/>
      <c r="LQX554"/>
      <c r="LQY554"/>
      <c r="LQZ554"/>
      <c r="LRA554"/>
      <c r="LRB554"/>
      <c r="LRC554"/>
      <c r="LRD554"/>
      <c r="LRE554"/>
      <c r="LRF554"/>
      <c r="LRG554"/>
      <c r="LRH554"/>
      <c r="LRI554"/>
      <c r="LRJ554"/>
      <c r="LRK554"/>
      <c r="LRL554"/>
      <c r="LRM554"/>
      <c r="LRN554"/>
      <c r="LRO554"/>
      <c r="LRP554"/>
      <c r="LRQ554"/>
      <c r="LRR554"/>
      <c r="LRS554"/>
      <c r="LRT554"/>
      <c r="LRU554"/>
      <c r="LRV554"/>
      <c r="LRW554"/>
      <c r="LRX554"/>
      <c r="LRY554"/>
      <c r="LRZ554"/>
      <c r="LSA554"/>
      <c r="LSB554"/>
      <c r="LSC554"/>
      <c r="LSD554"/>
      <c r="LSE554"/>
      <c r="LSF554"/>
      <c r="LSG554"/>
      <c r="LSH554"/>
      <c r="LSI554"/>
      <c r="LSJ554"/>
      <c r="LSK554"/>
      <c r="LSL554"/>
      <c r="LSM554"/>
      <c r="LSN554"/>
      <c r="LSO554"/>
      <c r="LSP554"/>
      <c r="LSQ554"/>
      <c r="LSR554"/>
      <c r="LSS554"/>
      <c r="LST554"/>
      <c r="LSU554"/>
      <c r="LSV554"/>
      <c r="LSW554"/>
      <c r="LSX554"/>
      <c r="LSY554"/>
      <c r="LSZ554"/>
      <c r="LTA554"/>
      <c r="LTB554"/>
      <c r="LTC554"/>
      <c r="LTD554"/>
      <c r="LTE554"/>
      <c r="LTF554"/>
      <c r="LTG554"/>
      <c r="LTH554"/>
      <c r="LTI554"/>
      <c r="LTJ554"/>
      <c r="LTK554"/>
      <c r="LTL554"/>
      <c r="LTM554"/>
      <c r="LTN554"/>
      <c r="LTO554"/>
      <c r="LTP554"/>
      <c r="LTQ554"/>
      <c r="LTR554"/>
      <c r="LTS554"/>
      <c r="LTT554"/>
      <c r="LTU554"/>
      <c r="LTV554"/>
      <c r="LTW554"/>
      <c r="LTX554"/>
      <c r="LTY554"/>
      <c r="LTZ554"/>
      <c r="LUA554"/>
      <c r="LUB554"/>
      <c r="LUC554"/>
      <c r="LUD554"/>
      <c r="LUE554"/>
      <c r="LUF554"/>
      <c r="LUG554"/>
      <c r="LUH554"/>
      <c r="LUI554"/>
      <c r="LUJ554"/>
      <c r="LUK554"/>
      <c r="LUL554"/>
      <c r="LUM554"/>
      <c r="LUN554"/>
      <c r="LUO554"/>
      <c r="LUP554"/>
      <c r="LUQ554"/>
      <c r="LUR554"/>
      <c r="LUS554"/>
      <c r="LUT554"/>
      <c r="LUU554"/>
      <c r="LUV554"/>
      <c r="LUW554"/>
      <c r="LUX554"/>
      <c r="LUY554"/>
      <c r="LUZ554"/>
      <c r="LVA554"/>
      <c r="LVB554"/>
      <c r="LVC554"/>
      <c r="LVD554"/>
      <c r="LVE554"/>
      <c r="LVF554"/>
      <c r="LVG554"/>
      <c r="LVH554"/>
      <c r="LVI554"/>
      <c r="LVJ554"/>
      <c r="LVK554"/>
      <c r="LVL554"/>
      <c r="LVM554"/>
      <c r="LVN554"/>
      <c r="LVO554"/>
      <c r="LVP554"/>
      <c r="LVQ554"/>
      <c r="LVR554"/>
      <c r="LVS554"/>
      <c r="LVT554"/>
      <c r="LVU554"/>
      <c r="LVV554"/>
      <c r="LVW554"/>
      <c r="LVX554"/>
      <c r="LVY554"/>
      <c r="LVZ554"/>
      <c r="LWA554"/>
      <c r="LWB554"/>
      <c r="LWC554"/>
      <c r="LWD554"/>
      <c r="LWE554"/>
      <c r="LWF554"/>
      <c r="LWG554"/>
      <c r="LWH554"/>
      <c r="LWI554"/>
      <c r="LWJ554"/>
      <c r="LWK554"/>
      <c r="LWL554"/>
      <c r="LWM554"/>
      <c r="LWN554"/>
      <c r="LWO554"/>
      <c r="LWP554"/>
      <c r="LWQ554"/>
      <c r="LWR554"/>
      <c r="LWS554"/>
      <c r="LWT554"/>
      <c r="LWU554"/>
      <c r="LWV554"/>
      <c r="LWW554"/>
      <c r="LWX554"/>
      <c r="LWY554"/>
      <c r="LWZ554"/>
      <c r="LXA554"/>
      <c r="LXB554"/>
      <c r="LXC554"/>
      <c r="LXD554"/>
      <c r="LXE554"/>
      <c r="LXF554"/>
      <c r="LXG554"/>
      <c r="LXH554"/>
      <c r="LXI554"/>
      <c r="LXJ554"/>
      <c r="LXK554"/>
      <c r="LXL554"/>
      <c r="LXM554"/>
      <c r="LXN554"/>
      <c r="LXO554"/>
      <c r="LXP554"/>
      <c r="LXQ554"/>
      <c r="LXR554"/>
      <c r="LXS554"/>
      <c r="LXT554"/>
      <c r="LXU554"/>
      <c r="LXV554"/>
      <c r="LXW554"/>
      <c r="LXX554"/>
      <c r="LXY554"/>
      <c r="LXZ554"/>
      <c r="LYA554"/>
      <c r="LYB554"/>
      <c r="LYC554"/>
      <c r="LYD554"/>
      <c r="LYE554"/>
      <c r="LYF554"/>
      <c r="LYG554"/>
      <c r="LYH554"/>
      <c r="LYI554"/>
      <c r="LYJ554"/>
      <c r="LYK554"/>
      <c r="LYL554"/>
      <c r="LYM554"/>
      <c r="LYN554"/>
      <c r="LYO554"/>
      <c r="LYP554"/>
      <c r="LYQ554"/>
      <c r="LYR554"/>
      <c r="LYS554"/>
      <c r="LYT554"/>
      <c r="LYU554"/>
      <c r="LYV554"/>
      <c r="LYW554"/>
      <c r="LYX554"/>
      <c r="LYY554"/>
      <c r="LYZ554"/>
      <c r="LZA554"/>
      <c r="LZB554"/>
      <c r="LZC554"/>
      <c r="LZD554"/>
      <c r="LZE554"/>
      <c r="LZF554"/>
      <c r="LZG554"/>
      <c r="LZH554"/>
      <c r="LZI554"/>
      <c r="LZJ554"/>
      <c r="LZK554"/>
      <c r="LZL554"/>
      <c r="LZM554"/>
      <c r="LZN554"/>
      <c r="LZO554"/>
      <c r="LZP554"/>
      <c r="LZQ554"/>
      <c r="LZR554"/>
      <c r="LZS554"/>
      <c r="LZT554"/>
      <c r="LZU554"/>
      <c r="LZV554"/>
      <c r="LZW554"/>
      <c r="LZX554"/>
      <c r="LZY554"/>
      <c r="LZZ554"/>
      <c r="MAA554"/>
      <c r="MAB554"/>
      <c r="MAC554"/>
      <c r="MAD554"/>
      <c r="MAE554"/>
      <c r="MAF554"/>
      <c r="MAG554"/>
      <c r="MAH554"/>
      <c r="MAI554"/>
      <c r="MAJ554"/>
      <c r="MAK554"/>
      <c r="MAL554"/>
      <c r="MAM554"/>
      <c r="MAN554"/>
      <c r="MAO554"/>
      <c r="MAP554"/>
      <c r="MAQ554"/>
      <c r="MAR554"/>
      <c r="MAS554"/>
      <c r="MAT554"/>
      <c r="MAU554"/>
      <c r="MAV554"/>
      <c r="MAW554"/>
      <c r="MAX554"/>
      <c r="MAY554"/>
      <c r="MAZ554"/>
      <c r="MBA554"/>
      <c r="MBB554"/>
      <c r="MBC554"/>
      <c r="MBD554"/>
      <c r="MBE554"/>
      <c r="MBF554"/>
      <c r="MBG554"/>
      <c r="MBH554"/>
      <c r="MBI554"/>
      <c r="MBJ554"/>
      <c r="MBK554"/>
      <c r="MBL554"/>
      <c r="MBM554"/>
      <c r="MBN554"/>
      <c r="MBO554"/>
      <c r="MBP554"/>
      <c r="MBQ554"/>
      <c r="MBR554"/>
      <c r="MBS554"/>
      <c r="MBT554"/>
      <c r="MBU554"/>
      <c r="MBV554"/>
      <c r="MBW554"/>
      <c r="MBX554"/>
      <c r="MBY554"/>
      <c r="MBZ554"/>
      <c r="MCA554"/>
      <c r="MCB554"/>
      <c r="MCC554"/>
      <c r="MCD554"/>
      <c r="MCE554"/>
      <c r="MCF554"/>
      <c r="MCG554"/>
      <c r="MCH554"/>
      <c r="MCI554"/>
      <c r="MCJ554"/>
      <c r="MCK554"/>
      <c r="MCL554"/>
      <c r="MCM554"/>
      <c r="MCN554"/>
      <c r="MCO554"/>
      <c r="MCP554"/>
      <c r="MCQ554"/>
      <c r="MCR554"/>
      <c r="MCS554"/>
      <c r="MCT554"/>
      <c r="MCU554"/>
      <c r="MCV554"/>
      <c r="MCW554"/>
      <c r="MCX554"/>
      <c r="MCY554"/>
      <c r="MCZ554"/>
      <c r="MDA554"/>
      <c r="MDB554"/>
      <c r="MDC554"/>
      <c r="MDD554"/>
      <c r="MDE554"/>
      <c r="MDF554"/>
      <c r="MDG554"/>
      <c r="MDH554"/>
      <c r="MDI554"/>
      <c r="MDJ554"/>
      <c r="MDK554"/>
      <c r="MDL554"/>
      <c r="MDM554"/>
      <c r="MDN554"/>
      <c r="MDO554"/>
      <c r="MDP554"/>
      <c r="MDQ554"/>
      <c r="MDR554"/>
      <c r="MDS554"/>
      <c r="MDT554"/>
      <c r="MDU554"/>
      <c r="MDV554"/>
      <c r="MDW554"/>
      <c r="MDX554"/>
      <c r="MDY554"/>
      <c r="MDZ554"/>
      <c r="MEA554"/>
      <c r="MEB554"/>
      <c r="MEC554"/>
      <c r="MED554"/>
      <c r="MEE554"/>
      <c r="MEF554"/>
      <c r="MEG554"/>
      <c r="MEH554"/>
      <c r="MEI554"/>
      <c r="MEJ554"/>
      <c r="MEK554"/>
      <c r="MEL554"/>
      <c r="MEM554"/>
      <c r="MEN554"/>
      <c r="MEO554"/>
      <c r="MEP554"/>
      <c r="MEQ554"/>
      <c r="MER554"/>
      <c r="MES554"/>
      <c r="MET554"/>
      <c r="MEU554"/>
      <c r="MEV554"/>
      <c r="MEW554"/>
      <c r="MEX554"/>
      <c r="MEY554"/>
      <c r="MEZ554"/>
      <c r="MFA554"/>
      <c r="MFB554"/>
      <c r="MFC554"/>
      <c r="MFD554"/>
      <c r="MFE554"/>
      <c r="MFF554"/>
      <c r="MFG554"/>
      <c r="MFH554"/>
      <c r="MFI554"/>
      <c r="MFJ554"/>
      <c r="MFK554"/>
      <c r="MFL554"/>
      <c r="MFM554"/>
      <c r="MFN554"/>
      <c r="MFO554"/>
      <c r="MFP554"/>
      <c r="MFQ554"/>
      <c r="MFR554"/>
      <c r="MFS554"/>
      <c r="MFT554"/>
      <c r="MFU554"/>
      <c r="MFV554"/>
      <c r="MFW554"/>
      <c r="MFX554"/>
      <c r="MFY554"/>
      <c r="MFZ554"/>
      <c r="MGA554"/>
      <c r="MGB554"/>
      <c r="MGC554"/>
      <c r="MGD554"/>
      <c r="MGE554"/>
      <c r="MGF554"/>
      <c r="MGG554"/>
      <c r="MGH554"/>
      <c r="MGI554"/>
      <c r="MGJ554"/>
      <c r="MGK554"/>
      <c r="MGL554"/>
      <c r="MGM554"/>
      <c r="MGN554"/>
      <c r="MGO554"/>
      <c r="MGP554"/>
      <c r="MGQ554"/>
      <c r="MGR554"/>
      <c r="MGS554"/>
      <c r="MGT554"/>
      <c r="MGU554"/>
      <c r="MGV554"/>
      <c r="MGW554"/>
      <c r="MGX554"/>
      <c r="MGY554"/>
      <c r="MGZ554"/>
      <c r="MHA554"/>
      <c r="MHB554"/>
      <c r="MHC554"/>
      <c r="MHD554"/>
      <c r="MHE554"/>
      <c r="MHF554"/>
      <c r="MHG554"/>
      <c r="MHH554"/>
      <c r="MHI554"/>
      <c r="MHJ554"/>
      <c r="MHK554"/>
      <c r="MHL554"/>
      <c r="MHM554"/>
      <c r="MHN554"/>
      <c r="MHO554"/>
      <c r="MHP554"/>
      <c r="MHQ554"/>
      <c r="MHR554"/>
      <c r="MHS554"/>
      <c r="MHT554"/>
      <c r="MHU554"/>
      <c r="MHV554"/>
      <c r="MHW554"/>
      <c r="MHX554"/>
      <c r="MHY554"/>
      <c r="MHZ554"/>
      <c r="MIA554"/>
      <c r="MIB554"/>
      <c r="MIC554"/>
      <c r="MID554"/>
      <c r="MIE554"/>
      <c r="MIF554"/>
      <c r="MIG554"/>
      <c r="MIH554"/>
      <c r="MII554"/>
      <c r="MIJ554"/>
      <c r="MIK554"/>
      <c r="MIL554"/>
      <c r="MIM554"/>
      <c r="MIN554"/>
      <c r="MIO554"/>
      <c r="MIP554"/>
      <c r="MIQ554"/>
      <c r="MIR554"/>
      <c r="MIS554"/>
      <c r="MIT554"/>
      <c r="MIU554"/>
      <c r="MIV554"/>
      <c r="MIW554"/>
      <c r="MIX554"/>
      <c r="MIY554"/>
      <c r="MIZ554"/>
      <c r="MJA554"/>
      <c r="MJB554"/>
      <c r="MJC554"/>
      <c r="MJD554"/>
      <c r="MJE554"/>
      <c r="MJF554"/>
      <c r="MJG554"/>
      <c r="MJH554"/>
      <c r="MJI554"/>
      <c r="MJJ554"/>
      <c r="MJK554"/>
      <c r="MJL554"/>
      <c r="MJM554"/>
      <c r="MJN554"/>
      <c r="MJO554"/>
      <c r="MJP554"/>
      <c r="MJQ554"/>
      <c r="MJR554"/>
      <c r="MJS554"/>
      <c r="MJT554"/>
      <c r="MJU554"/>
      <c r="MJV554"/>
      <c r="MJW554"/>
      <c r="MJX554"/>
      <c r="MJY554"/>
      <c r="MJZ554"/>
      <c r="MKA554"/>
      <c r="MKB554"/>
      <c r="MKC554"/>
      <c r="MKD554"/>
      <c r="MKE554"/>
      <c r="MKF554"/>
      <c r="MKG554"/>
      <c r="MKH554"/>
      <c r="MKI554"/>
      <c r="MKJ554"/>
      <c r="MKK554"/>
      <c r="MKL554"/>
      <c r="MKM554"/>
      <c r="MKN554"/>
      <c r="MKO554"/>
      <c r="MKP554"/>
      <c r="MKQ554"/>
      <c r="MKR554"/>
      <c r="MKS554"/>
      <c r="MKT554"/>
      <c r="MKU554"/>
      <c r="MKV554"/>
      <c r="MKW554"/>
      <c r="MKX554"/>
      <c r="MKY554"/>
      <c r="MKZ554"/>
      <c r="MLA554"/>
      <c r="MLB554"/>
      <c r="MLC554"/>
      <c r="MLD554"/>
      <c r="MLE554"/>
      <c r="MLF554"/>
      <c r="MLG554"/>
      <c r="MLH554"/>
      <c r="MLI554"/>
      <c r="MLJ554"/>
      <c r="MLK554"/>
      <c r="MLL554"/>
      <c r="MLM554"/>
      <c r="MLN554"/>
      <c r="MLO554"/>
      <c r="MLP554"/>
      <c r="MLQ554"/>
      <c r="MLR554"/>
      <c r="MLS554"/>
      <c r="MLT554"/>
      <c r="MLU554"/>
      <c r="MLV554"/>
      <c r="MLW554"/>
      <c r="MLX554"/>
      <c r="MLY554"/>
      <c r="MLZ554"/>
      <c r="MMA554"/>
      <c r="MMB554"/>
      <c r="MMC554"/>
      <c r="MMD554"/>
      <c r="MME554"/>
      <c r="MMF554"/>
      <c r="MMG554"/>
      <c r="MMH554"/>
      <c r="MMI554"/>
      <c r="MMJ554"/>
      <c r="MMK554"/>
      <c r="MML554"/>
      <c r="MMM554"/>
      <c r="MMN554"/>
      <c r="MMO554"/>
      <c r="MMP554"/>
      <c r="MMQ554"/>
      <c r="MMR554"/>
      <c r="MMS554"/>
      <c r="MMT554"/>
      <c r="MMU554"/>
      <c r="MMV554"/>
      <c r="MMW554"/>
      <c r="MMX554"/>
      <c r="MMY554"/>
      <c r="MMZ554"/>
      <c r="MNA554"/>
      <c r="MNB554"/>
      <c r="MNC554"/>
      <c r="MND554"/>
      <c r="MNE554"/>
      <c r="MNF554"/>
      <c r="MNG554"/>
      <c r="MNH554"/>
      <c r="MNI554"/>
      <c r="MNJ554"/>
      <c r="MNK554"/>
      <c r="MNL554"/>
      <c r="MNM554"/>
      <c r="MNN554"/>
      <c r="MNO554"/>
      <c r="MNP554"/>
      <c r="MNQ554"/>
      <c r="MNR554"/>
      <c r="MNS554"/>
      <c r="MNT554"/>
      <c r="MNU554"/>
      <c r="MNV554"/>
      <c r="MNW554"/>
      <c r="MNX554"/>
      <c r="MNY554"/>
      <c r="MNZ554"/>
      <c r="MOA554"/>
      <c r="MOB554"/>
      <c r="MOC554"/>
      <c r="MOD554"/>
      <c r="MOE554"/>
      <c r="MOF554"/>
      <c r="MOG554"/>
      <c r="MOH554"/>
      <c r="MOI554"/>
      <c r="MOJ554"/>
      <c r="MOK554"/>
      <c r="MOL554"/>
      <c r="MOM554"/>
      <c r="MON554"/>
      <c r="MOO554"/>
      <c r="MOP554"/>
      <c r="MOQ554"/>
      <c r="MOR554"/>
      <c r="MOS554"/>
      <c r="MOT554"/>
      <c r="MOU554"/>
      <c r="MOV554"/>
      <c r="MOW554"/>
      <c r="MOX554"/>
      <c r="MOY554"/>
      <c r="MOZ554"/>
      <c r="MPA554"/>
      <c r="MPB554"/>
      <c r="MPC554"/>
      <c r="MPD554"/>
      <c r="MPE554"/>
      <c r="MPF554"/>
      <c r="MPG554"/>
      <c r="MPH554"/>
      <c r="MPI554"/>
      <c r="MPJ554"/>
      <c r="MPK554"/>
      <c r="MPL554"/>
      <c r="MPM554"/>
      <c r="MPN554"/>
      <c r="MPO554"/>
      <c r="MPP554"/>
      <c r="MPQ554"/>
      <c r="MPR554"/>
      <c r="MPS554"/>
      <c r="MPT554"/>
      <c r="MPU554"/>
      <c r="MPV554"/>
      <c r="MPW554"/>
      <c r="MPX554"/>
      <c r="MPY554"/>
      <c r="MPZ554"/>
      <c r="MQA554"/>
      <c r="MQB554"/>
      <c r="MQC554"/>
      <c r="MQD554"/>
      <c r="MQE554"/>
      <c r="MQF554"/>
      <c r="MQG554"/>
      <c r="MQH554"/>
      <c r="MQI554"/>
      <c r="MQJ554"/>
      <c r="MQK554"/>
      <c r="MQL554"/>
      <c r="MQM554"/>
      <c r="MQN554"/>
      <c r="MQO554"/>
      <c r="MQP554"/>
      <c r="MQQ554"/>
      <c r="MQR554"/>
      <c r="MQS554"/>
      <c r="MQT554"/>
      <c r="MQU554"/>
      <c r="MQV554"/>
      <c r="MQW554"/>
      <c r="MQX554"/>
      <c r="MQY554"/>
      <c r="MQZ554"/>
      <c r="MRA554"/>
      <c r="MRB554"/>
      <c r="MRC554"/>
      <c r="MRD554"/>
      <c r="MRE554"/>
      <c r="MRF554"/>
      <c r="MRG554"/>
      <c r="MRH554"/>
      <c r="MRI554"/>
      <c r="MRJ554"/>
      <c r="MRK554"/>
      <c r="MRL554"/>
      <c r="MRM554"/>
      <c r="MRN554"/>
      <c r="MRO554"/>
      <c r="MRP554"/>
      <c r="MRQ554"/>
      <c r="MRR554"/>
      <c r="MRS554"/>
      <c r="MRT554"/>
      <c r="MRU554"/>
      <c r="MRV554"/>
      <c r="MRW554"/>
      <c r="MRX554"/>
      <c r="MRY554"/>
      <c r="MRZ554"/>
      <c r="MSA554"/>
      <c r="MSB554"/>
      <c r="MSC554"/>
      <c r="MSD554"/>
      <c r="MSE554"/>
      <c r="MSF554"/>
      <c r="MSG554"/>
      <c r="MSH554"/>
      <c r="MSI554"/>
      <c r="MSJ554"/>
      <c r="MSK554"/>
      <c r="MSL554"/>
      <c r="MSM554"/>
      <c r="MSN554"/>
      <c r="MSO554"/>
      <c r="MSP554"/>
      <c r="MSQ554"/>
      <c r="MSR554"/>
      <c r="MSS554"/>
      <c r="MST554"/>
      <c r="MSU554"/>
      <c r="MSV554"/>
      <c r="MSW554"/>
      <c r="MSX554"/>
      <c r="MSY554"/>
      <c r="MSZ554"/>
      <c r="MTA554"/>
      <c r="MTB554"/>
      <c r="MTC554"/>
      <c r="MTD554"/>
      <c r="MTE554"/>
      <c r="MTF554"/>
      <c r="MTG554"/>
      <c r="MTH554"/>
      <c r="MTI554"/>
      <c r="MTJ554"/>
      <c r="MTK554"/>
      <c r="MTL554"/>
      <c r="MTM554"/>
      <c r="MTN554"/>
      <c r="MTO554"/>
      <c r="MTP554"/>
      <c r="MTQ554"/>
      <c r="MTR554"/>
      <c r="MTS554"/>
      <c r="MTT554"/>
      <c r="MTU554"/>
      <c r="MTV554"/>
      <c r="MTW554"/>
      <c r="MTX554"/>
      <c r="MTY554"/>
      <c r="MTZ554"/>
      <c r="MUA554"/>
      <c r="MUB554"/>
      <c r="MUC554"/>
      <c r="MUD554"/>
      <c r="MUE554"/>
      <c r="MUF554"/>
      <c r="MUG554"/>
      <c r="MUH554"/>
      <c r="MUI554"/>
      <c r="MUJ554"/>
      <c r="MUK554"/>
      <c r="MUL554"/>
      <c r="MUM554"/>
      <c r="MUN554"/>
      <c r="MUO554"/>
      <c r="MUP554"/>
      <c r="MUQ554"/>
      <c r="MUR554"/>
      <c r="MUS554"/>
      <c r="MUT554"/>
      <c r="MUU554"/>
      <c r="MUV554"/>
      <c r="MUW554"/>
      <c r="MUX554"/>
      <c r="MUY554"/>
      <c r="MUZ554"/>
      <c r="MVA554"/>
      <c r="MVB554"/>
      <c r="MVC554"/>
      <c r="MVD554"/>
      <c r="MVE554"/>
      <c r="MVF554"/>
      <c r="MVG554"/>
      <c r="MVH554"/>
      <c r="MVI554"/>
      <c r="MVJ554"/>
      <c r="MVK554"/>
      <c r="MVL554"/>
      <c r="MVM554"/>
      <c r="MVN554"/>
      <c r="MVO554"/>
      <c r="MVP554"/>
      <c r="MVQ554"/>
      <c r="MVR554"/>
      <c r="MVS554"/>
      <c r="MVT554"/>
      <c r="MVU554"/>
      <c r="MVV554"/>
      <c r="MVW554"/>
      <c r="MVX554"/>
      <c r="MVY554"/>
      <c r="MVZ554"/>
      <c r="MWA554"/>
      <c r="MWB554"/>
      <c r="MWC554"/>
      <c r="MWD554"/>
      <c r="MWE554"/>
      <c r="MWF554"/>
      <c r="MWG554"/>
      <c r="MWH554"/>
      <c r="MWI554"/>
      <c r="MWJ554"/>
      <c r="MWK554"/>
      <c r="MWL554"/>
      <c r="MWM554"/>
      <c r="MWN554"/>
      <c r="MWO554"/>
      <c r="MWP554"/>
      <c r="MWQ554"/>
      <c r="MWR554"/>
      <c r="MWS554"/>
      <c r="MWT554"/>
      <c r="MWU554"/>
      <c r="MWV554"/>
      <c r="MWW554"/>
      <c r="MWX554"/>
      <c r="MWY554"/>
      <c r="MWZ554"/>
      <c r="MXA554"/>
      <c r="MXB554"/>
      <c r="MXC554"/>
      <c r="MXD554"/>
      <c r="MXE554"/>
      <c r="MXF554"/>
      <c r="MXG554"/>
      <c r="MXH554"/>
      <c r="MXI554"/>
      <c r="MXJ554"/>
      <c r="MXK554"/>
      <c r="MXL554"/>
      <c r="MXM554"/>
      <c r="MXN554"/>
      <c r="MXO554"/>
      <c r="MXP554"/>
      <c r="MXQ554"/>
      <c r="MXR554"/>
      <c r="MXS554"/>
      <c r="MXT554"/>
      <c r="MXU554"/>
      <c r="MXV554"/>
      <c r="MXW554"/>
      <c r="MXX554"/>
      <c r="MXY554"/>
      <c r="MXZ554"/>
      <c r="MYA554"/>
      <c r="MYB554"/>
      <c r="MYC554"/>
      <c r="MYD554"/>
      <c r="MYE554"/>
      <c r="MYF554"/>
      <c r="MYG554"/>
      <c r="MYH554"/>
      <c r="MYI554"/>
      <c r="MYJ554"/>
      <c r="MYK554"/>
      <c r="MYL554"/>
      <c r="MYM554"/>
      <c r="MYN554"/>
      <c r="MYO554"/>
      <c r="MYP554"/>
      <c r="MYQ554"/>
      <c r="MYR554"/>
      <c r="MYS554"/>
      <c r="MYT554"/>
      <c r="MYU554"/>
      <c r="MYV554"/>
      <c r="MYW554"/>
      <c r="MYX554"/>
      <c r="MYY554"/>
      <c r="MYZ554"/>
      <c r="MZA554"/>
      <c r="MZB554"/>
      <c r="MZC554"/>
      <c r="MZD554"/>
      <c r="MZE554"/>
      <c r="MZF554"/>
      <c r="MZG554"/>
      <c r="MZH554"/>
      <c r="MZI554"/>
      <c r="MZJ554"/>
      <c r="MZK554"/>
      <c r="MZL554"/>
      <c r="MZM554"/>
      <c r="MZN554"/>
      <c r="MZO554"/>
      <c r="MZP554"/>
      <c r="MZQ554"/>
      <c r="MZR554"/>
      <c r="MZS554"/>
      <c r="MZT554"/>
      <c r="MZU554"/>
      <c r="MZV554"/>
      <c r="MZW554"/>
      <c r="MZX554"/>
      <c r="MZY554"/>
      <c r="MZZ554"/>
      <c r="NAA554"/>
      <c r="NAB554"/>
      <c r="NAC554"/>
      <c r="NAD554"/>
      <c r="NAE554"/>
      <c r="NAF554"/>
      <c r="NAG554"/>
      <c r="NAH554"/>
      <c r="NAI554"/>
      <c r="NAJ554"/>
      <c r="NAK554"/>
      <c r="NAL554"/>
      <c r="NAM554"/>
      <c r="NAN554"/>
      <c r="NAO554"/>
      <c r="NAP554"/>
      <c r="NAQ554"/>
      <c r="NAR554"/>
      <c r="NAS554"/>
      <c r="NAT554"/>
      <c r="NAU554"/>
      <c r="NAV554"/>
      <c r="NAW554"/>
      <c r="NAX554"/>
      <c r="NAY554"/>
      <c r="NAZ554"/>
      <c r="NBA554"/>
      <c r="NBB554"/>
      <c r="NBC554"/>
      <c r="NBD554"/>
      <c r="NBE554"/>
      <c r="NBF554"/>
      <c r="NBG554"/>
      <c r="NBH554"/>
      <c r="NBI554"/>
      <c r="NBJ554"/>
      <c r="NBK554"/>
      <c r="NBL554"/>
      <c r="NBM554"/>
      <c r="NBN554"/>
      <c r="NBO554"/>
      <c r="NBP554"/>
      <c r="NBQ554"/>
      <c r="NBR554"/>
      <c r="NBS554"/>
      <c r="NBT554"/>
      <c r="NBU554"/>
      <c r="NBV554"/>
      <c r="NBW554"/>
      <c r="NBX554"/>
      <c r="NBY554"/>
      <c r="NBZ554"/>
      <c r="NCA554"/>
      <c r="NCB554"/>
      <c r="NCC554"/>
      <c r="NCD554"/>
      <c r="NCE554"/>
      <c r="NCF554"/>
      <c r="NCG554"/>
      <c r="NCH554"/>
      <c r="NCI554"/>
      <c r="NCJ554"/>
      <c r="NCK554"/>
      <c r="NCL554"/>
      <c r="NCM554"/>
      <c r="NCN554"/>
      <c r="NCO554"/>
      <c r="NCP554"/>
      <c r="NCQ554"/>
      <c r="NCR554"/>
      <c r="NCS554"/>
      <c r="NCT554"/>
      <c r="NCU554"/>
      <c r="NCV554"/>
      <c r="NCW554"/>
      <c r="NCX554"/>
      <c r="NCY554"/>
      <c r="NCZ554"/>
      <c r="NDA554"/>
      <c r="NDB554"/>
      <c r="NDC554"/>
      <c r="NDD554"/>
      <c r="NDE554"/>
      <c r="NDF554"/>
      <c r="NDG554"/>
      <c r="NDH554"/>
      <c r="NDI554"/>
      <c r="NDJ554"/>
      <c r="NDK554"/>
      <c r="NDL554"/>
      <c r="NDM554"/>
      <c r="NDN554"/>
      <c r="NDO554"/>
      <c r="NDP554"/>
      <c r="NDQ554"/>
      <c r="NDR554"/>
      <c r="NDS554"/>
      <c r="NDT554"/>
      <c r="NDU554"/>
      <c r="NDV554"/>
      <c r="NDW554"/>
      <c r="NDX554"/>
      <c r="NDY554"/>
      <c r="NDZ554"/>
      <c r="NEA554"/>
      <c r="NEB554"/>
      <c r="NEC554"/>
      <c r="NED554"/>
      <c r="NEE554"/>
      <c r="NEF554"/>
      <c r="NEG554"/>
      <c r="NEH554"/>
      <c r="NEI554"/>
      <c r="NEJ554"/>
      <c r="NEK554"/>
      <c r="NEL554"/>
      <c r="NEM554"/>
      <c r="NEN554"/>
      <c r="NEO554"/>
      <c r="NEP554"/>
      <c r="NEQ554"/>
      <c r="NER554"/>
      <c r="NES554"/>
      <c r="NET554"/>
      <c r="NEU554"/>
      <c r="NEV554"/>
      <c r="NEW554"/>
      <c r="NEX554"/>
      <c r="NEY554"/>
      <c r="NEZ554"/>
      <c r="NFA554"/>
      <c r="NFB554"/>
      <c r="NFC554"/>
      <c r="NFD554"/>
      <c r="NFE554"/>
      <c r="NFF554"/>
      <c r="NFG554"/>
      <c r="NFH554"/>
      <c r="NFI554"/>
      <c r="NFJ554"/>
      <c r="NFK554"/>
      <c r="NFL554"/>
      <c r="NFM554"/>
      <c r="NFN554"/>
      <c r="NFO554"/>
      <c r="NFP554"/>
      <c r="NFQ554"/>
      <c r="NFR554"/>
      <c r="NFS554"/>
      <c r="NFT554"/>
      <c r="NFU554"/>
      <c r="NFV554"/>
      <c r="NFW554"/>
      <c r="NFX554"/>
      <c r="NFY554"/>
      <c r="NFZ554"/>
      <c r="NGA554"/>
      <c r="NGB554"/>
      <c r="NGC554"/>
      <c r="NGD554"/>
      <c r="NGE554"/>
      <c r="NGF554"/>
      <c r="NGG554"/>
      <c r="NGH554"/>
      <c r="NGI554"/>
      <c r="NGJ554"/>
      <c r="NGK554"/>
      <c r="NGL554"/>
      <c r="NGM554"/>
      <c r="NGN554"/>
      <c r="NGO554"/>
      <c r="NGP554"/>
      <c r="NGQ554"/>
      <c r="NGR554"/>
      <c r="NGS554"/>
      <c r="NGT554"/>
      <c r="NGU554"/>
      <c r="NGV554"/>
      <c r="NGW554"/>
      <c r="NGX554"/>
      <c r="NGY554"/>
      <c r="NGZ554"/>
      <c r="NHA554"/>
      <c r="NHB554"/>
      <c r="NHC554"/>
      <c r="NHD554"/>
      <c r="NHE554"/>
      <c r="NHF554"/>
      <c r="NHG554"/>
      <c r="NHH554"/>
      <c r="NHI554"/>
      <c r="NHJ554"/>
      <c r="NHK554"/>
      <c r="NHL554"/>
      <c r="NHM554"/>
      <c r="NHN554"/>
      <c r="NHO554"/>
      <c r="NHP554"/>
      <c r="NHQ554"/>
      <c r="NHR554"/>
      <c r="NHS554"/>
      <c r="NHT554"/>
      <c r="NHU554"/>
      <c r="NHV554"/>
      <c r="NHW554"/>
      <c r="NHX554"/>
      <c r="NHY554"/>
      <c r="NHZ554"/>
      <c r="NIA554"/>
      <c r="NIB554"/>
      <c r="NIC554"/>
      <c r="NID554"/>
      <c r="NIE554"/>
      <c r="NIF554"/>
      <c r="NIG554"/>
      <c r="NIH554"/>
      <c r="NII554"/>
      <c r="NIJ554"/>
      <c r="NIK554"/>
      <c r="NIL554"/>
      <c r="NIM554"/>
      <c r="NIN554"/>
      <c r="NIO554"/>
      <c r="NIP554"/>
      <c r="NIQ554"/>
      <c r="NIR554"/>
      <c r="NIS554"/>
      <c r="NIT554"/>
      <c r="NIU554"/>
      <c r="NIV554"/>
      <c r="NIW554"/>
      <c r="NIX554"/>
      <c r="NIY554"/>
      <c r="NIZ554"/>
      <c r="NJA554"/>
      <c r="NJB554"/>
      <c r="NJC554"/>
      <c r="NJD554"/>
      <c r="NJE554"/>
      <c r="NJF554"/>
      <c r="NJG554"/>
      <c r="NJH554"/>
      <c r="NJI554"/>
      <c r="NJJ554"/>
      <c r="NJK554"/>
      <c r="NJL554"/>
      <c r="NJM554"/>
      <c r="NJN554"/>
      <c r="NJO554"/>
      <c r="NJP554"/>
      <c r="NJQ554"/>
      <c r="NJR554"/>
      <c r="NJS554"/>
      <c r="NJT554"/>
      <c r="NJU554"/>
      <c r="NJV554"/>
      <c r="NJW554"/>
      <c r="NJX554"/>
      <c r="NJY554"/>
      <c r="NJZ554"/>
      <c r="NKA554"/>
      <c r="NKB554"/>
      <c r="NKC554"/>
      <c r="NKD554"/>
      <c r="NKE554"/>
      <c r="NKF554"/>
      <c r="NKG554"/>
      <c r="NKH554"/>
      <c r="NKI554"/>
      <c r="NKJ554"/>
      <c r="NKK554"/>
      <c r="NKL554"/>
      <c r="NKM554"/>
      <c r="NKN554"/>
      <c r="NKO554"/>
      <c r="NKP554"/>
      <c r="NKQ554"/>
      <c r="NKR554"/>
      <c r="NKS554"/>
      <c r="NKT554"/>
      <c r="NKU554"/>
      <c r="NKV554"/>
      <c r="NKW554"/>
      <c r="NKX554"/>
      <c r="NKY554"/>
      <c r="NKZ554"/>
      <c r="NLA554"/>
      <c r="NLB554"/>
      <c r="NLC554"/>
      <c r="NLD554"/>
      <c r="NLE554"/>
      <c r="NLF554"/>
      <c r="NLG554"/>
      <c r="NLH554"/>
      <c r="NLI554"/>
      <c r="NLJ554"/>
      <c r="NLK554"/>
      <c r="NLL554"/>
      <c r="NLM554"/>
      <c r="NLN554"/>
      <c r="NLO554"/>
      <c r="NLP554"/>
      <c r="NLQ554"/>
      <c r="NLR554"/>
      <c r="NLS554"/>
      <c r="NLT554"/>
      <c r="NLU554"/>
      <c r="NLV554"/>
      <c r="NLW554"/>
      <c r="NLX554"/>
      <c r="NLY554"/>
      <c r="NLZ554"/>
      <c r="NMA554"/>
      <c r="NMB554"/>
      <c r="NMC554"/>
      <c r="NMD554"/>
      <c r="NME554"/>
      <c r="NMF554"/>
      <c r="NMG554"/>
      <c r="NMH554"/>
      <c r="NMI554"/>
      <c r="NMJ554"/>
      <c r="NMK554"/>
      <c r="NML554"/>
      <c r="NMM554"/>
      <c r="NMN554"/>
      <c r="NMO554"/>
      <c r="NMP554"/>
      <c r="NMQ554"/>
      <c r="NMR554"/>
      <c r="NMS554"/>
      <c r="NMT554"/>
      <c r="NMU554"/>
      <c r="NMV554"/>
      <c r="NMW554"/>
      <c r="NMX554"/>
      <c r="NMY554"/>
      <c r="NMZ554"/>
      <c r="NNA554"/>
      <c r="NNB554"/>
      <c r="NNC554"/>
      <c r="NND554"/>
      <c r="NNE554"/>
      <c r="NNF554"/>
      <c r="NNG554"/>
      <c r="NNH554"/>
      <c r="NNI554"/>
      <c r="NNJ554"/>
      <c r="NNK554"/>
      <c r="NNL554"/>
      <c r="NNM554"/>
      <c r="NNN554"/>
      <c r="NNO554"/>
      <c r="NNP554"/>
      <c r="NNQ554"/>
      <c r="NNR554"/>
      <c r="NNS554"/>
      <c r="NNT554"/>
      <c r="NNU554"/>
      <c r="NNV554"/>
      <c r="NNW554"/>
      <c r="NNX554"/>
      <c r="NNY554"/>
      <c r="NNZ554"/>
      <c r="NOA554"/>
      <c r="NOB554"/>
      <c r="NOC554"/>
      <c r="NOD554"/>
      <c r="NOE554"/>
      <c r="NOF554"/>
      <c r="NOG554"/>
      <c r="NOH554"/>
      <c r="NOI554"/>
      <c r="NOJ554"/>
      <c r="NOK554"/>
      <c r="NOL554"/>
      <c r="NOM554"/>
      <c r="NON554"/>
      <c r="NOO554"/>
      <c r="NOP554"/>
      <c r="NOQ554"/>
      <c r="NOR554"/>
      <c r="NOS554"/>
      <c r="NOT554"/>
      <c r="NOU554"/>
      <c r="NOV554"/>
      <c r="NOW554"/>
      <c r="NOX554"/>
      <c r="NOY554"/>
      <c r="NOZ554"/>
      <c r="NPA554"/>
      <c r="NPB554"/>
      <c r="NPC554"/>
      <c r="NPD554"/>
      <c r="NPE554"/>
      <c r="NPF554"/>
      <c r="NPG554"/>
      <c r="NPH554"/>
      <c r="NPI554"/>
      <c r="NPJ554"/>
      <c r="NPK554"/>
      <c r="NPL554"/>
      <c r="NPM554"/>
      <c r="NPN554"/>
      <c r="NPO554"/>
      <c r="NPP554"/>
      <c r="NPQ554"/>
      <c r="NPR554"/>
      <c r="NPS554"/>
      <c r="NPT554"/>
      <c r="NPU554"/>
      <c r="NPV554"/>
      <c r="NPW554"/>
      <c r="NPX554"/>
      <c r="NPY554"/>
      <c r="NPZ554"/>
      <c r="NQA554"/>
      <c r="NQB554"/>
      <c r="NQC554"/>
      <c r="NQD554"/>
      <c r="NQE554"/>
      <c r="NQF554"/>
      <c r="NQG554"/>
      <c r="NQH554"/>
      <c r="NQI554"/>
      <c r="NQJ554"/>
      <c r="NQK554"/>
      <c r="NQL554"/>
      <c r="NQM554"/>
      <c r="NQN554"/>
      <c r="NQO554"/>
      <c r="NQP554"/>
      <c r="NQQ554"/>
      <c r="NQR554"/>
      <c r="NQS554"/>
      <c r="NQT554"/>
      <c r="NQU554"/>
      <c r="NQV554"/>
      <c r="NQW554"/>
      <c r="NQX554"/>
      <c r="NQY554"/>
      <c r="NQZ554"/>
      <c r="NRA554"/>
      <c r="NRB554"/>
      <c r="NRC554"/>
      <c r="NRD554"/>
      <c r="NRE554"/>
      <c r="NRF554"/>
      <c r="NRG554"/>
      <c r="NRH554"/>
      <c r="NRI554"/>
      <c r="NRJ554"/>
      <c r="NRK554"/>
      <c r="NRL554"/>
      <c r="NRM554"/>
      <c r="NRN554"/>
      <c r="NRO554"/>
      <c r="NRP554"/>
      <c r="NRQ554"/>
      <c r="NRR554"/>
      <c r="NRS554"/>
      <c r="NRT554"/>
      <c r="NRU554"/>
      <c r="NRV554"/>
      <c r="NRW554"/>
      <c r="NRX554"/>
      <c r="NRY554"/>
      <c r="NRZ554"/>
      <c r="NSA554"/>
      <c r="NSB554"/>
      <c r="NSC554"/>
      <c r="NSD554"/>
      <c r="NSE554"/>
      <c r="NSF554"/>
      <c r="NSG554"/>
      <c r="NSH554"/>
      <c r="NSI554"/>
      <c r="NSJ554"/>
      <c r="NSK554"/>
      <c r="NSL554"/>
      <c r="NSM554"/>
      <c r="NSN554"/>
      <c r="NSO554"/>
      <c r="NSP554"/>
      <c r="NSQ554"/>
      <c r="NSR554"/>
      <c r="NSS554"/>
      <c r="NST554"/>
      <c r="NSU554"/>
      <c r="NSV554"/>
      <c r="NSW554"/>
      <c r="NSX554"/>
      <c r="NSY554"/>
      <c r="NSZ554"/>
      <c r="NTA554"/>
      <c r="NTB554"/>
      <c r="NTC554"/>
      <c r="NTD554"/>
      <c r="NTE554"/>
      <c r="NTF554"/>
      <c r="NTG554"/>
      <c r="NTH554"/>
      <c r="NTI554"/>
      <c r="NTJ554"/>
      <c r="NTK554"/>
      <c r="NTL554"/>
      <c r="NTM554"/>
      <c r="NTN554"/>
      <c r="NTO554"/>
      <c r="NTP554"/>
      <c r="NTQ554"/>
      <c r="NTR554"/>
      <c r="NTS554"/>
      <c r="NTT554"/>
      <c r="NTU554"/>
      <c r="NTV554"/>
      <c r="NTW554"/>
      <c r="NTX554"/>
      <c r="NTY554"/>
      <c r="NTZ554"/>
      <c r="NUA554"/>
      <c r="NUB554"/>
      <c r="NUC554"/>
      <c r="NUD554"/>
      <c r="NUE554"/>
      <c r="NUF554"/>
      <c r="NUG554"/>
      <c r="NUH554"/>
      <c r="NUI554"/>
      <c r="NUJ554"/>
      <c r="NUK554"/>
      <c r="NUL554"/>
      <c r="NUM554"/>
      <c r="NUN554"/>
      <c r="NUO554"/>
      <c r="NUP554"/>
      <c r="NUQ554"/>
      <c r="NUR554"/>
      <c r="NUS554"/>
      <c r="NUT554"/>
      <c r="NUU554"/>
      <c r="NUV554"/>
      <c r="NUW554"/>
      <c r="NUX554"/>
      <c r="NUY554"/>
      <c r="NUZ554"/>
      <c r="NVA554"/>
      <c r="NVB554"/>
      <c r="NVC554"/>
      <c r="NVD554"/>
      <c r="NVE554"/>
      <c r="NVF554"/>
      <c r="NVG554"/>
      <c r="NVH554"/>
      <c r="NVI554"/>
      <c r="NVJ554"/>
      <c r="NVK554"/>
      <c r="NVL554"/>
      <c r="NVM554"/>
      <c r="NVN554"/>
      <c r="NVO554"/>
      <c r="NVP554"/>
      <c r="NVQ554"/>
      <c r="NVR554"/>
      <c r="NVS554"/>
      <c r="NVT554"/>
      <c r="NVU554"/>
      <c r="NVV554"/>
      <c r="NVW554"/>
      <c r="NVX554"/>
      <c r="NVY554"/>
      <c r="NVZ554"/>
      <c r="NWA554"/>
      <c r="NWB554"/>
      <c r="NWC554"/>
      <c r="NWD554"/>
      <c r="NWE554"/>
      <c r="NWF554"/>
      <c r="NWG554"/>
      <c r="NWH554"/>
      <c r="NWI554"/>
      <c r="NWJ554"/>
      <c r="NWK554"/>
      <c r="NWL554"/>
      <c r="NWM554"/>
      <c r="NWN554"/>
      <c r="NWO554"/>
      <c r="NWP554"/>
      <c r="NWQ554"/>
      <c r="NWR554"/>
      <c r="NWS554"/>
      <c r="NWT554"/>
      <c r="NWU554"/>
      <c r="NWV554"/>
      <c r="NWW554"/>
      <c r="NWX554"/>
      <c r="NWY554"/>
      <c r="NWZ554"/>
      <c r="NXA554"/>
      <c r="NXB554"/>
      <c r="NXC554"/>
      <c r="NXD554"/>
      <c r="NXE554"/>
      <c r="NXF554"/>
      <c r="NXG554"/>
      <c r="NXH554"/>
      <c r="NXI554"/>
      <c r="NXJ554"/>
      <c r="NXK554"/>
      <c r="NXL554"/>
      <c r="NXM554"/>
      <c r="NXN554"/>
      <c r="NXO554"/>
      <c r="NXP554"/>
      <c r="NXQ554"/>
      <c r="NXR554"/>
      <c r="NXS554"/>
      <c r="NXT554"/>
      <c r="NXU554"/>
      <c r="NXV554"/>
      <c r="NXW554"/>
      <c r="NXX554"/>
      <c r="NXY554"/>
      <c r="NXZ554"/>
      <c r="NYA554"/>
      <c r="NYB554"/>
      <c r="NYC554"/>
      <c r="NYD554"/>
      <c r="NYE554"/>
      <c r="NYF554"/>
      <c r="NYG554"/>
      <c r="NYH554"/>
      <c r="NYI554"/>
      <c r="NYJ554"/>
      <c r="NYK554"/>
      <c r="NYL554"/>
      <c r="NYM554"/>
      <c r="NYN554"/>
      <c r="NYO554"/>
      <c r="NYP554"/>
      <c r="NYQ554"/>
      <c r="NYR554"/>
      <c r="NYS554"/>
      <c r="NYT554"/>
      <c r="NYU554"/>
      <c r="NYV554"/>
      <c r="NYW554"/>
      <c r="NYX554"/>
      <c r="NYY554"/>
      <c r="NYZ554"/>
      <c r="NZA554"/>
      <c r="NZB554"/>
      <c r="NZC554"/>
      <c r="NZD554"/>
      <c r="NZE554"/>
      <c r="NZF554"/>
      <c r="NZG554"/>
      <c r="NZH554"/>
      <c r="NZI554"/>
      <c r="NZJ554"/>
      <c r="NZK554"/>
      <c r="NZL554"/>
      <c r="NZM554"/>
      <c r="NZN554"/>
      <c r="NZO554"/>
      <c r="NZP554"/>
      <c r="NZQ554"/>
      <c r="NZR554"/>
      <c r="NZS554"/>
      <c r="NZT554"/>
      <c r="NZU554"/>
      <c r="NZV554"/>
      <c r="NZW554"/>
      <c r="NZX554"/>
      <c r="NZY554"/>
      <c r="NZZ554"/>
      <c r="OAA554"/>
      <c r="OAB554"/>
      <c r="OAC554"/>
      <c r="OAD554"/>
      <c r="OAE554"/>
      <c r="OAF554"/>
      <c r="OAG554"/>
      <c r="OAH554"/>
      <c r="OAI554"/>
      <c r="OAJ554"/>
      <c r="OAK554"/>
      <c r="OAL554"/>
      <c r="OAM554"/>
      <c r="OAN554"/>
      <c r="OAO554"/>
      <c r="OAP554"/>
      <c r="OAQ554"/>
      <c r="OAR554"/>
      <c r="OAS554"/>
      <c r="OAT554"/>
      <c r="OAU554"/>
      <c r="OAV554"/>
      <c r="OAW554"/>
      <c r="OAX554"/>
      <c r="OAY554"/>
      <c r="OAZ554"/>
      <c r="OBA554"/>
      <c r="OBB554"/>
      <c r="OBC554"/>
      <c r="OBD554"/>
      <c r="OBE554"/>
      <c r="OBF554"/>
      <c r="OBG554"/>
      <c r="OBH554"/>
      <c r="OBI554"/>
      <c r="OBJ554"/>
      <c r="OBK554"/>
      <c r="OBL554"/>
      <c r="OBM554"/>
      <c r="OBN554"/>
      <c r="OBO554"/>
      <c r="OBP554"/>
      <c r="OBQ554"/>
      <c r="OBR554"/>
      <c r="OBS554"/>
      <c r="OBT554"/>
      <c r="OBU554"/>
      <c r="OBV554"/>
      <c r="OBW554"/>
      <c r="OBX554"/>
      <c r="OBY554"/>
      <c r="OBZ554"/>
      <c r="OCA554"/>
      <c r="OCB554"/>
      <c r="OCC554"/>
      <c r="OCD554"/>
      <c r="OCE554"/>
      <c r="OCF554"/>
      <c r="OCG554"/>
      <c r="OCH554"/>
      <c r="OCI554"/>
      <c r="OCJ554"/>
      <c r="OCK554"/>
      <c r="OCL554"/>
      <c r="OCM554"/>
      <c r="OCN554"/>
      <c r="OCO554"/>
      <c r="OCP554"/>
      <c r="OCQ554"/>
      <c r="OCR554"/>
      <c r="OCS554"/>
      <c r="OCT554"/>
      <c r="OCU554"/>
      <c r="OCV554"/>
      <c r="OCW554"/>
      <c r="OCX554"/>
      <c r="OCY554"/>
      <c r="OCZ554"/>
      <c r="ODA554"/>
      <c r="ODB554"/>
      <c r="ODC554"/>
      <c r="ODD554"/>
      <c r="ODE554"/>
      <c r="ODF554"/>
      <c r="ODG554"/>
      <c r="ODH554"/>
      <c r="ODI554"/>
      <c r="ODJ554"/>
      <c r="ODK554"/>
      <c r="ODL554"/>
      <c r="ODM554"/>
      <c r="ODN554"/>
      <c r="ODO554"/>
      <c r="ODP554"/>
      <c r="ODQ554"/>
      <c r="ODR554"/>
      <c r="ODS554"/>
      <c r="ODT554"/>
      <c r="ODU554"/>
      <c r="ODV554"/>
      <c r="ODW554"/>
      <c r="ODX554"/>
      <c r="ODY554"/>
      <c r="ODZ554"/>
      <c r="OEA554"/>
      <c r="OEB554"/>
      <c r="OEC554"/>
      <c r="OED554"/>
      <c r="OEE554"/>
      <c r="OEF554"/>
      <c r="OEG554"/>
      <c r="OEH554"/>
      <c r="OEI554"/>
      <c r="OEJ554"/>
      <c r="OEK554"/>
      <c r="OEL554"/>
      <c r="OEM554"/>
      <c r="OEN554"/>
      <c r="OEO554"/>
      <c r="OEP554"/>
      <c r="OEQ554"/>
      <c r="OER554"/>
      <c r="OES554"/>
      <c r="OET554"/>
      <c r="OEU554"/>
      <c r="OEV554"/>
      <c r="OEW554"/>
      <c r="OEX554"/>
      <c r="OEY554"/>
      <c r="OEZ554"/>
      <c r="OFA554"/>
      <c r="OFB554"/>
      <c r="OFC554"/>
      <c r="OFD554"/>
      <c r="OFE554"/>
      <c r="OFF554"/>
      <c r="OFG554"/>
      <c r="OFH554"/>
      <c r="OFI554"/>
      <c r="OFJ554"/>
      <c r="OFK554"/>
      <c r="OFL554"/>
      <c r="OFM554"/>
      <c r="OFN554"/>
      <c r="OFO554"/>
      <c r="OFP554"/>
      <c r="OFQ554"/>
      <c r="OFR554"/>
      <c r="OFS554"/>
      <c r="OFT554"/>
      <c r="OFU554"/>
      <c r="OFV554"/>
      <c r="OFW554"/>
      <c r="OFX554"/>
      <c r="OFY554"/>
      <c r="OFZ554"/>
      <c r="OGA554"/>
      <c r="OGB554"/>
      <c r="OGC554"/>
      <c r="OGD554"/>
      <c r="OGE554"/>
      <c r="OGF554"/>
      <c r="OGG554"/>
      <c r="OGH554"/>
      <c r="OGI554"/>
      <c r="OGJ554"/>
      <c r="OGK554"/>
      <c r="OGL554"/>
      <c r="OGM554"/>
      <c r="OGN554"/>
      <c r="OGO554"/>
      <c r="OGP554"/>
      <c r="OGQ554"/>
      <c r="OGR554"/>
      <c r="OGS554"/>
      <c r="OGT554"/>
      <c r="OGU554"/>
      <c r="OGV554"/>
      <c r="OGW554"/>
      <c r="OGX554"/>
      <c r="OGY554"/>
      <c r="OGZ554"/>
      <c r="OHA554"/>
      <c r="OHB554"/>
      <c r="OHC554"/>
      <c r="OHD554"/>
      <c r="OHE554"/>
      <c r="OHF554"/>
      <c r="OHG554"/>
      <c r="OHH554"/>
      <c r="OHI554"/>
      <c r="OHJ554"/>
      <c r="OHK554"/>
      <c r="OHL554"/>
      <c r="OHM554"/>
      <c r="OHN554"/>
      <c r="OHO554"/>
      <c r="OHP554"/>
      <c r="OHQ554"/>
      <c r="OHR554"/>
      <c r="OHS554"/>
      <c r="OHT554"/>
      <c r="OHU554"/>
      <c r="OHV554"/>
      <c r="OHW554"/>
      <c r="OHX554"/>
      <c r="OHY554"/>
      <c r="OHZ554"/>
      <c r="OIA554"/>
      <c r="OIB554"/>
      <c r="OIC554"/>
      <c r="OID554"/>
      <c r="OIE554"/>
      <c r="OIF554"/>
      <c r="OIG554"/>
      <c r="OIH554"/>
      <c r="OII554"/>
      <c r="OIJ554"/>
      <c r="OIK554"/>
      <c r="OIL554"/>
      <c r="OIM554"/>
      <c r="OIN554"/>
      <c r="OIO554"/>
      <c r="OIP554"/>
      <c r="OIQ554"/>
      <c r="OIR554"/>
      <c r="OIS554"/>
      <c r="OIT554"/>
      <c r="OIU554"/>
      <c r="OIV554"/>
      <c r="OIW554"/>
      <c r="OIX554"/>
      <c r="OIY554"/>
      <c r="OIZ554"/>
      <c r="OJA554"/>
      <c r="OJB554"/>
      <c r="OJC554"/>
      <c r="OJD554"/>
      <c r="OJE554"/>
      <c r="OJF554"/>
      <c r="OJG554"/>
      <c r="OJH554"/>
      <c r="OJI554"/>
      <c r="OJJ554"/>
      <c r="OJK554"/>
      <c r="OJL554"/>
      <c r="OJM554"/>
      <c r="OJN554"/>
      <c r="OJO554"/>
      <c r="OJP554"/>
      <c r="OJQ554"/>
      <c r="OJR554"/>
      <c r="OJS554"/>
      <c r="OJT554"/>
      <c r="OJU554"/>
      <c r="OJV554"/>
      <c r="OJW554"/>
      <c r="OJX554"/>
      <c r="OJY554"/>
      <c r="OJZ554"/>
      <c r="OKA554"/>
      <c r="OKB554"/>
      <c r="OKC554"/>
      <c r="OKD554"/>
      <c r="OKE554"/>
      <c r="OKF554"/>
      <c r="OKG554"/>
      <c r="OKH554"/>
      <c r="OKI554"/>
      <c r="OKJ554"/>
      <c r="OKK554"/>
      <c r="OKL554"/>
      <c r="OKM554"/>
      <c r="OKN554"/>
      <c r="OKO554"/>
      <c r="OKP554"/>
      <c r="OKQ554"/>
      <c r="OKR554"/>
      <c r="OKS554"/>
      <c r="OKT554"/>
      <c r="OKU554"/>
      <c r="OKV554"/>
      <c r="OKW554"/>
      <c r="OKX554"/>
      <c r="OKY554"/>
      <c r="OKZ554"/>
      <c r="OLA554"/>
      <c r="OLB554"/>
      <c r="OLC554"/>
      <c r="OLD554"/>
      <c r="OLE554"/>
      <c r="OLF554"/>
      <c r="OLG554"/>
      <c r="OLH554"/>
      <c r="OLI554"/>
      <c r="OLJ554"/>
      <c r="OLK554"/>
      <c r="OLL554"/>
      <c r="OLM554"/>
      <c r="OLN554"/>
      <c r="OLO554"/>
      <c r="OLP554"/>
      <c r="OLQ554"/>
      <c r="OLR554"/>
      <c r="OLS554"/>
      <c r="OLT554"/>
      <c r="OLU554"/>
      <c r="OLV554"/>
      <c r="OLW554"/>
      <c r="OLX554"/>
      <c r="OLY554"/>
      <c r="OLZ554"/>
      <c r="OMA554"/>
      <c r="OMB554"/>
      <c r="OMC554"/>
      <c r="OMD554"/>
      <c r="OME554"/>
      <c r="OMF554"/>
      <c r="OMG554"/>
      <c r="OMH554"/>
      <c r="OMI554"/>
      <c r="OMJ554"/>
      <c r="OMK554"/>
      <c r="OML554"/>
      <c r="OMM554"/>
      <c r="OMN554"/>
      <c r="OMO554"/>
      <c r="OMP554"/>
      <c r="OMQ554"/>
      <c r="OMR554"/>
      <c r="OMS554"/>
      <c r="OMT554"/>
      <c r="OMU554"/>
      <c r="OMV554"/>
      <c r="OMW554"/>
      <c r="OMX554"/>
      <c r="OMY554"/>
      <c r="OMZ554"/>
      <c r="ONA554"/>
      <c r="ONB554"/>
      <c r="ONC554"/>
      <c r="OND554"/>
      <c r="ONE554"/>
      <c r="ONF554"/>
      <c r="ONG554"/>
      <c r="ONH554"/>
      <c r="ONI554"/>
      <c r="ONJ554"/>
      <c r="ONK554"/>
      <c r="ONL554"/>
      <c r="ONM554"/>
      <c r="ONN554"/>
      <c r="ONO554"/>
      <c r="ONP554"/>
      <c r="ONQ554"/>
      <c r="ONR554"/>
      <c r="ONS554"/>
      <c r="ONT554"/>
      <c r="ONU554"/>
      <c r="ONV554"/>
      <c r="ONW554"/>
      <c r="ONX554"/>
      <c r="ONY554"/>
      <c r="ONZ554"/>
      <c r="OOA554"/>
      <c r="OOB554"/>
      <c r="OOC554"/>
      <c r="OOD554"/>
      <c r="OOE554"/>
      <c r="OOF554"/>
      <c r="OOG554"/>
      <c r="OOH554"/>
      <c r="OOI554"/>
      <c r="OOJ554"/>
      <c r="OOK554"/>
      <c r="OOL554"/>
      <c r="OOM554"/>
      <c r="OON554"/>
      <c r="OOO554"/>
      <c r="OOP554"/>
      <c r="OOQ554"/>
      <c r="OOR554"/>
      <c r="OOS554"/>
      <c r="OOT554"/>
      <c r="OOU554"/>
      <c r="OOV554"/>
      <c r="OOW554"/>
      <c r="OOX554"/>
      <c r="OOY554"/>
      <c r="OOZ554"/>
      <c r="OPA554"/>
      <c r="OPB554"/>
      <c r="OPC554"/>
      <c r="OPD554"/>
      <c r="OPE554"/>
      <c r="OPF554"/>
      <c r="OPG554"/>
      <c r="OPH554"/>
      <c r="OPI554"/>
      <c r="OPJ554"/>
      <c r="OPK554"/>
      <c r="OPL554"/>
      <c r="OPM554"/>
      <c r="OPN554"/>
      <c r="OPO554"/>
      <c r="OPP554"/>
      <c r="OPQ554"/>
      <c r="OPR554"/>
      <c r="OPS554"/>
      <c r="OPT554"/>
      <c r="OPU554"/>
      <c r="OPV554"/>
      <c r="OPW554"/>
      <c r="OPX554"/>
      <c r="OPY554"/>
      <c r="OPZ554"/>
      <c r="OQA554"/>
      <c r="OQB554"/>
      <c r="OQC554"/>
      <c r="OQD554"/>
      <c r="OQE554"/>
      <c r="OQF554"/>
      <c r="OQG554"/>
      <c r="OQH554"/>
      <c r="OQI554"/>
      <c r="OQJ554"/>
      <c r="OQK554"/>
      <c r="OQL554"/>
      <c r="OQM554"/>
      <c r="OQN554"/>
      <c r="OQO554"/>
      <c r="OQP554"/>
      <c r="OQQ554"/>
      <c r="OQR554"/>
      <c r="OQS554"/>
      <c r="OQT554"/>
      <c r="OQU554"/>
      <c r="OQV554"/>
      <c r="OQW554"/>
      <c r="OQX554"/>
      <c r="OQY554"/>
      <c r="OQZ554"/>
      <c r="ORA554"/>
      <c r="ORB554"/>
      <c r="ORC554"/>
      <c r="ORD554"/>
      <c r="ORE554"/>
      <c r="ORF554"/>
      <c r="ORG554"/>
      <c r="ORH554"/>
      <c r="ORI554"/>
      <c r="ORJ554"/>
      <c r="ORK554"/>
      <c r="ORL554"/>
      <c r="ORM554"/>
      <c r="ORN554"/>
      <c r="ORO554"/>
      <c r="ORP554"/>
      <c r="ORQ554"/>
      <c r="ORR554"/>
      <c r="ORS554"/>
      <c r="ORT554"/>
      <c r="ORU554"/>
      <c r="ORV554"/>
      <c r="ORW554"/>
      <c r="ORX554"/>
      <c r="ORY554"/>
      <c r="ORZ554"/>
      <c r="OSA554"/>
      <c r="OSB554"/>
      <c r="OSC554"/>
      <c r="OSD554"/>
      <c r="OSE554"/>
      <c r="OSF554"/>
      <c r="OSG554"/>
      <c r="OSH554"/>
      <c r="OSI554"/>
      <c r="OSJ554"/>
      <c r="OSK554"/>
      <c r="OSL554"/>
      <c r="OSM554"/>
      <c r="OSN554"/>
      <c r="OSO554"/>
      <c r="OSP554"/>
      <c r="OSQ554"/>
      <c r="OSR554"/>
      <c r="OSS554"/>
      <c r="OST554"/>
      <c r="OSU554"/>
      <c r="OSV554"/>
      <c r="OSW554"/>
      <c r="OSX554"/>
      <c r="OSY554"/>
      <c r="OSZ554"/>
      <c r="OTA554"/>
      <c r="OTB554"/>
      <c r="OTC554"/>
      <c r="OTD554"/>
      <c r="OTE554"/>
      <c r="OTF554"/>
      <c r="OTG554"/>
      <c r="OTH554"/>
      <c r="OTI554"/>
      <c r="OTJ554"/>
      <c r="OTK554"/>
      <c r="OTL554"/>
      <c r="OTM554"/>
      <c r="OTN554"/>
      <c r="OTO554"/>
      <c r="OTP554"/>
      <c r="OTQ554"/>
      <c r="OTR554"/>
      <c r="OTS554"/>
      <c r="OTT554"/>
      <c r="OTU554"/>
      <c r="OTV554"/>
      <c r="OTW554"/>
      <c r="OTX554"/>
      <c r="OTY554"/>
      <c r="OTZ554"/>
      <c r="OUA554"/>
      <c r="OUB554"/>
      <c r="OUC554"/>
      <c r="OUD554"/>
      <c r="OUE554"/>
      <c r="OUF554"/>
      <c r="OUG554"/>
      <c r="OUH554"/>
      <c r="OUI554"/>
      <c r="OUJ554"/>
      <c r="OUK554"/>
      <c r="OUL554"/>
      <c r="OUM554"/>
      <c r="OUN554"/>
      <c r="OUO554"/>
      <c r="OUP554"/>
      <c r="OUQ554"/>
      <c r="OUR554"/>
      <c r="OUS554"/>
      <c r="OUT554"/>
      <c r="OUU554"/>
      <c r="OUV554"/>
      <c r="OUW554"/>
      <c r="OUX554"/>
      <c r="OUY554"/>
      <c r="OUZ554"/>
      <c r="OVA554"/>
      <c r="OVB554"/>
      <c r="OVC554"/>
      <c r="OVD554"/>
      <c r="OVE554"/>
      <c r="OVF554"/>
      <c r="OVG554"/>
      <c r="OVH554"/>
      <c r="OVI554"/>
      <c r="OVJ554"/>
      <c r="OVK554"/>
      <c r="OVL554"/>
      <c r="OVM554"/>
      <c r="OVN554"/>
      <c r="OVO554"/>
      <c r="OVP554"/>
      <c r="OVQ554"/>
      <c r="OVR554"/>
      <c r="OVS554"/>
      <c r="OVT554"/>
      <c r="OVU554"/>
      <c r="OVV554"/>
      <c r="OVW554"/>
      <c r="OVX554"/>
      <c r="OVY554"/>
      <c r="OVZ554"/>
      <c r="OWA554"/>
      <c r="OWB554"/>
      <c r="OWC554"/>
      <c r="OWD554"/>
      <c r="OWE554"/>
      <c r="OWF554"/>
      <c r="OWG554"/>
      <c r="OWH554"/>
      <c r="OWI554"/>
      <c r="OWJ554"/>
      <c r="OWK554"/>
      <c r="OWL554"/>
      <c r="OWM554"/>
      <c r="OWN554"/>
      <c r="OWO554"/>
      <c r="OWP554"/>
      <c r="OWQ554"/>
      <c r="OWR554"/>
      <c r="OWS554"/>
      <c r="OWT554"/>
      <c r="OWU554"/>
      <c r="OWV554"/>
      <c r="OWW554"/>
      <c r="OWX554"/>
      <c r="OWY554"/>
      <c r="OWZ554"/>
      <c r="OXA554"/>
      <c r="OXB554"/>
      <c r="OXC554"/>
      <c r="OXD554"/>
      <c r="OXE554"/>
      <c r="OXF554"/>
      <c r="OXG554"/>
      <c r="OXH554"/>
      <c r="OXI554"/>
      <c r="OXJ554"/>
      <c r="OXK554"/>
      <c r="OXL554"/>
      <c r="OXM554"/>
      <c r="OXN554"/>
      <c r="OXO554"/>
      <c r="OXP554"/>
      <c r="OXQ554"/>
      <c r="OXR554"/>
      <c r="OXS554"/>
      <c r="OXT554"/>
      <c r="OXU554"/>
      <c r="OXV554"/>
      <c r="OXW554"/>
      <c r="OXX554"/>
      <c r="OXY554"/>
      <c r="OXZ554"/>
      <c r="OYA554"/>
      <c r="OYB554"/>
      <c r="OYC554"/>
      <c r="OYD554"/>
      <c r="OYE554"/>
      <c r="OYF554"/>
      <c r="OYG554"/>
      <c r="OYH554"/>
      <c r="OYI554"/>
      <c r="OYJ554"/>
      <c r="OYK554"/>
      <c r="OYL554"/>
      <c r="OYM554"/>
      <c r="OYN554"/>
      <c r="OYO554"/>
      <c r="OYP554"/>
      <c r="OYQ554"/>
      <c r="OYR554"/>
      <c r="OYS554"/>
      <c r="OYT554"/>
      <c r="OYU554"/>
      <c r="OYV554"/>
      <c r="OYW554"/>
      <c r="OYX554"/>
      <c r="OYY554"/>
      <c r="OYZ554"/>
      <c r="OZA554"/>
      <c r="OZB554"/>
      <c r="OZC554"/>
      <c r="OZD554"/>
      <c r="OZE554"/>
      <c r="OZF554"/>
      <c r="OZG554"/>
      <c r="OZH554"/>
      <c r="OZI554"/>
      <c r="OZJ554"/>
      <c r="OZK554"/>
      <c r="OZL554"/>
      <c r="OZM554"/>
      <c r="OZN554"/>
      <c r="OZO554"/>
      <c r="OZP554"/>
      <c r="OZQ554"/>
      <c r="OZR554"/>
      <c r="OZS554"/>
      <c r="OZT554"/>
      <c r="OZU554"/>
      <c r="OZV554"/>
      <c r="OZW554"/>
      <c r="OZX554"/>
      <c r="OZY554"/>
      <c r="OZZ554"/>
      <c r="PAA554"/>
      <c r="PAB554"/>
      <c r="PAC554"/>
      <c r="PAD554"/>
      <c r="PAE554"/>
      <c r="PAF554"/>
      <c r="PAG554"/>
      <c r="PAH554"/>
      <c r="PAI554"/>
      <c r="PAJ554"/>
      <c r="PAK554"/>
      <c r="PAL554"/>
      <c r="PAM554"/>
      <c r="PAN554"/>
      <c r="PAO554"/>
      <c r="PAP554"/>
      <c r="PAQ554"/>
      <c r="PAR554"/>
      <c r="PAS554"/>
      <c r="PAT554"/>
      <c r="PAU554"/>
      <c r="PAV554"/>
      <c r="PAW554"/>
      <c r="PAX554"/>
      <c r="PAY554"/>
      <c r="PAZ554"/>
      <c r="PBA554"/>
      <c r="PBB554"/>
      <c r="PBC554"/>
      <c r="PBD554"/>
      <c r="PBE554"/>
      <c r="PBF554"/>
      <c r="PBG554"/>
      <c r="PBH554"/>
      <c r="PBI554"/>
      <c r="PBJ554"/>
      <c r="PBK554"/>
      <c r="PBL554"/>
      <c r="PBM554"/>
      <c r="PBN554"/>
      <c r="PBO554"/>
      <c r="PBP554"/>
      <c r="PBQ554"/>
      <c r="PBR554"/>
      <c r="PBS554"/>
      <c r="PBT554"/>
      <c r="PBU554"/>
      <c r="PBV554"/>
      <c r="PBW554"/>
      <c r="PBX554"/>
      <c r="PBY554"/>
      <c r="PBZ554"/>
      <c r="PCA554"/>
      <c r="PCB554"/>
      <c r="PCC554"/>
      <c r="PCD554"/>
      <c r="PCE554"/>
      <c r="PCF554"/>
      <c r="PCG554"/>
      <c r="PCH554"/>
      <c r="PCI554"/>
      <c r="PCJ554"/>
      <c r="PCK554"/>
      <c r="PCL554"/>
      <c r="PCM554"/>
      <c r="PCN554"/>
      <c r="PCO554"/>
      <c r="PCP554"/>
      <c r="PCQ554"/>
      <c r="PCR554"/>
      <c r="PCS554"/>
      <c r="PCT554"/>
      <c r="PCU554"/>
      <c r="PCV554"/>
      <c r="PCW554"/>
      <c r="PCX554"/>
      <c r="PCY554"/>
      <c r="PCZ554"/>
      <c r="PDA554"/>
      <c r="PDB554"/>
      <c r="PDC554"/>
      <c r="PDD554"/>
      <c r="PDE554"/>
      <c r="PDF554"/>
      <c r="PDG554"/>
      <c r="PDH554"/>
      <c r="PDI554"/>
      <c r="PDJ554"/>
      <c r="PDK554"/>
      <c r="PDL554"/>
      <c r="PDM554"/>
      <c r="PDN554"/>
      <c r="PDO554"/>
      <c r="PDP554"/>
      <c r="PDQ554"/>
      <c r="PDR554"/>
      <c r="PDS554"/>
      <c r="PDT554"/>
      <c r="PDU554"/>
      <c r="PDV554"/>
      <c r="PDW554"/>
      <c r="PDX554"/>
      <c r="PDY554"/>
      <c r="PDZ554"/>
      <c r="PEA554"/>
      <c r="PEB554"/>
      <c r="PEC554"/>
      <c r="PED554"/>
      <c r="PEE554"/>
      <c r="PEF554"/>
      <c r="PEG554"/>
      <c r="PEH554"/>
      <c r="PEI554"/>
      <c r="PEJ554"/>
      <c r="PEK554"/>
      <c r="PEL554"/>
      <c r="PEM554"/>
      <c r="PEN554"/>
      <c r="PEO554"/>
      <c r="PEP554"/>
      <c r="PEQ554"/>
      <c r="PER554"/>
      <c r="PES554"/>
      <c r="PET554"/>
      <c r="PEU554"/>
      <c r="PEV554"/>
      <c r="PEW554"/>
      <c r="PEX554"/>
      <c r="PEY554"/>
      <c r="PEZ554"/>
      <c r="PFA554"/>
      <c r="PFB554"/>
      <c r="PFC554"/>
      <c r="PFD554"/>
      <c r="PFE554"/>
      <c r="PFF554"/>
      <c r="PFG554"/>
      <c r="PFH554"/>
      <c r="PFI554"/>
      <c r="PFJ554"/>
      <c r="PFK554"/>
      <c r="PFL554"/>
      <c r="PFM554"/>
      <c r="PFN554"/>
      <c r="PFO554"/>
      <c r="PFP554"/>
      <c r="PFQ554"/>
      <c r="PFR554"/>
      <c r="PFS554"/>
      <c r="PFT554"/>
      <c r="PFU554"/>
      <c r="PFV554"/>
      <c r="PFW554"/>
      <c r="PFX554"/>
      <c r="PFY554"/>
      <c r="PFZ554"/>
      <c r="PGA554"/>
      <c r="PGB554"/>
      <c r="PGC554"/>
      <c r="PGD554"/>
      <c r="PGE554"/>
      <c r="PGF554"/>
      <c r="PGG554"/>
      <c r="PGH554"/>
      <c r="PGI554"/>
      <c r="PGJ554"/>
      <c r="PGK554"/>
      <c r="PGL554"/>
      <c r="PGM554"/>
      <c r="PGN554"/>
      <c r="PGO554"/>
      <c r="PGP554"/>
      <c r="PGQ554"/>
      <c r="PGR554"/>
      <c r="PGS554"/>
      <c r="PGT554"/>
      <c r="PGU554"/>
      <c r="PGV554"/>
      <c r="PGW554"/>
      <c r="PGX554"/>
      <c r="PGY554"/>
      <c r="PGZ554"/>
      <c r="PHA554"/>
      <c r="PHB554"/>
      <c r="PHC554"/>
      <c r="PHD554"/>
      <c r="PHE554"/>
      <c r="PHF554"/>
      <c r="PHG554"/>
      <c r="PHH554"/>
      <c r="PHI554"/>
      <c r="PHJ554"/>
      <c r="PHK554"/>
      <c r="PHL554"/>
      <c r="PHM554"/>
      <c r="PHN554"/>
      <c r="PHO554"/>
      <c r="PHP554"/>
      <c r="PHQ554"/>
      <c r="PHR554"/>
      <c r="PHS554"/>
      <c r="PHT554"/>
      <c r="PHU554"/>
      <c r="PHV554"/>
      <c r="PHW554"/>
      <c r="PHX554"/>
      <c r="PHY554"/>
      <c r="PHZ554"/>
      <c r="PIA554"/>
      <c r="PIB554"/>
      <c r="PIC554"/>
      <c r="PID554"/>
      <c r="PIE554"/>
      <c r="PIF554"/>
      <c r="PIG554"/>
      <c r="PIH554"/>
      <c r="PII554"/>
      <c r="PIJ554"/>
      <c r="PIK554"/>
      <c r="PIL554"/>
      <c r="PIM554"/>
      <c r="PIN554"/>
      <c r="PIO554"/>
      <c r="PIP554"/>
      <c r="PIQ554"/>
      <c r="PIR554"/>
      <c r="PIS554"/>
      <c r="PIT554"/>
      <c r="PIU554"/>
      <c r="PIV554"/>
      <c r="PIW554"/>
      <c r="PIX554"/>
      <c r="PIY554"/>
      <c r="PIZ554"/>
      <c r="PJA554"/>
      <c r="PJB554"/>
      <c r="PJC554"/>
      <c r="PJD554"/>
      <c r="PJE554"/>
      <c r="PJF554"/>
      <c r="PJG554"/>
      <c r="PJH554"/>
      <c r="PJI554"/>
      <c r="PJJ554"/>
      <c r="PJK554"/>
      <c r="PJL554"/>
      <c r="PJM554"/>
      <c r="PJN554"/>
      <c r="PJO554"/>
      <c r="PJP554"/>
      <c r="PJQ554"/>
      <c r="PJR554"/>
      <c r="PJS554"/>
      <c r="PJT554"/>
      <c r="PJU554"/>
      <c r="PJV554"/>
      <c r="PJW554"/>
      <c r="PJX554"/>
      <c r="PJY554"/>
      <c r="PJZ554"/>
      <c r="PKA554"/>
      <c r="PKB554"/>
      <c r="PKC554"/>
      <c r="PKD554"/>
      <c r="PKE554"/>
      <c r="PKF554"/>
      <c r="PKG554"/>
      <c r="PKH554"/>
      <c r="PKI554"/>
      <c r="PKJ554"/>
      <c r="PKK554"/>
      <c r="PKL554"/>
      <c r="PKM554"/>
      <c r="PKN554"/>
      <c r="PKO554"/>
      <c r="PKP554"/>
      <c r="PKQ554"/>
      <c r="PKR554"/>
      <c r="PKS554"/>
      <c r="PKT554"/>
      <c r="PKU554"/>
      <c r="PKV554"/>
      <c r="PKW554"/>
      <c r="PKX554"/>
      <c r="PKY554"/>
      <c r="PKZ554"/>
      <c r="PLA554"/>
      <c r="PLB554"/>
      <c r="PLC554"/>
      <c r="PLD554"/>
      <c r="PLE554"/>
      <c r="PLF554"/>
      <c r="PLG554"/>
      <c r="PLH554"/>
      <c r="PLI554"/>
      <c r="PLJ554"/>
      <c r="PLK554"/>
      <c r="PLL554"/>
      <c r="PLM554"/>
      <c r="PLN554"/>
      <c r="PLO554"/>
      <c r="PLP554"/>
      <c r="PLQ554"/>
      <c r="PLR554"/>
      <c r="PLS554"/>
      <c r="PLT554"/>
      <c r="PLU554"/>
      <c r="PLV554"/>
      <c r="PLW554"/>
      <c r="PLX554"/>
      <c r="PLY554"/>
      <c r="PLZ554"/>
      <c r="PMA554"/>
      <c r="PMB554"/>
      <c r="PMC554"/>
      <c r="PMD554"/>
      <c r="PME554"/>
      <c r="PMF554"/>
      <c r="PMG554"/>
      <c r="PMH554"/>
      <c r="PMI554"/>
      <c r="PMJ554"/>
      <c r="PMK554"/>
      <c r="PML554"/>
      <c r="PMM554"/>
      <c r="PMN554"/>
      <c r="PMO554"/>
      <c r="PMP554"/>
      <c r="PMQ554"/>
      <c r="PMR554"/>
      <c r="PMS554"/>
      <c r="PMT554"/>
      <c r="PMU554"/>
      <c r="PMV554"/>
      <c r="PMW554"/>
      <c r="PMX554"/>
      <c r="PMY554"/>
      <c r="PMZ554"/>
      <c r="PNA554"/>
      <c r="PNB554"/>
      <c r="PNC554"/>
      <c r="PND554"/>
      <c r="PNE554"/>
      <c r="PNF554"/>
      <c r="PNG554"/>
      <c r="PNH554"/>
      <c r="PNI554"/>
      <c r="PNJ554"/>
      <c r="PNK554"/>
      <c r="PNL554"/>
      <c r="PNM554"/>
      <c r="PNN554"/>
      <c r="PNO554"/>
      <c r="PNP554"/>
      <c r="PNQ554"/>
      <c r="PNR554"/>
      <c r="PNS554"/>
      <c r="PNT554"/>
      <c r="PNU554"/>
      <c r="PNV554"/>
      <c r="PNW554"/>
      <c r="PNX554"/>
      <c r="PNY554"/>
      <c r="PNZ554"/>
      <c r="POA554"/>
      <c r="POB554"/>
      <c r="POC554"/>
      <c r="POD554"/>
      <c r="POE554"/>
      <c r="POF554"/>
      <c r="POG554"/>
      <c r="POH554"/>
      <c r="POI554"/>
      <c r="POJ554"/>
      <c r="POK554"/>
      <c r="POL554"/>
      <c r="POM554"/>
      <c r="PON554"/>
      <c r="POO554"/>
      <c r="POP554"/>
      <c r="POQ554"/>
      <c r="POR554"/>
      <c r="POS554"/>
      <c r="POT554"/>
      <c r="POU554"/>
      <c r="POV554"/>
      <c r="POW554"/>
      <c r="POX554"/>
      <c r="POY554"/>
      <c r="POZ554"/>
      <c r="PPA554"/>
      <c r="PPB554"/>
      <c r="PPC554"/>
      <c r="PPD554"/>
      <c r="PPE554"/>
      <c r="PPF554"/>
      <c r="PPG554"/>
      <c r="PPH554"/>
      <c r="PPI554"/>
      <c r="PPJ554"/>
      <c r="PPK554"/>
      <c r="PPL554"/>
      <c r="PPM554"/>
      <c r="PPN554"/>
      <c r="PPO554"/>
      <c r="PPP554"/>
      <c r="PPQ554"/>
      <c r="PPR554"/>
      <c r="PPS554"/>
      <c r="PPT554"/>
      <c r="PPU554"/>
      <c r="PPV554"/>
      <c r="PPW554"/>
      <c r="PPX554"/>
      <c r="PPY554"/>
      <c r="PPZ554"/>
      <c r="PQA554"/>
      <c r="PQB554"/>
      <c r="PQC554"/>
      <c r="PQD554"/>
      <c r="PQE554"/>
      <c r="PQF554"/>
      <c r="PQG554"/>
      <c r="PQH554"/>
      <c r="PQI554"/>
      <c r="PQJ554"/>
      <c r="PQK554"/>
      <c r="PQL554"/>
      <c r="PQM554"/>
      <c r="PQN554"/>
      <c r="PQO554"/>
      <c r="PQP554"/>
      <c r="PQQ554"/>
      <c r="PQR554"/>
      <c r="PQS554"/>
      <c r="PQT554"/>
      <c r="PQU554"/>
      <c r="PQV554"/>
      <c r="PQW554"/>
      <c r="PQX554"/>
      <c r="PQY554"/>
      <c r="PQZ554"/>
      <c r="PRA554"/>
      <c r="PRB554"/>
      <c r="PRC554"/>
      <c r="PRD554"/>
      <c r="PRE554"/>
      <c r="PRF554"/>
      <c r="PRG554"/>
      <c r="PRH554"/>
      <c r="PRI554"/>
      <c r="PRJ554"/>
      <c r="PRK554"/>
      <c r="PRL554"/>
      <c r="PRM554"/>
      <c r="PRN554"/>
      <c r="PRO554"/>
      <c r="PRP554"/>
      <c r="PRQ554"/>
      <c r="PRR554"/>
      <c r="PRS554"/>
      <c r="PRT554"/>
      <c r="PRU554"/>
      <c r="PRV554"/>
      <c r="PRW554"/>
      <c r="PRX554"/>
      <c r="PRY554"/>
      <c r="PRZ554"/>
      <c r="PSA554"/>
      <c r="PSB554"/>
      <c r="PSC554"/>
      <c r="PSD554"/>
      <c r="PSE554"/>
      <c r="PSF554"/>
      <c r="PSG554"/>
      <c r="PSH554"/>
      <c r="PSI554"/>
      <c r="PSJ554"/>
      <c r="PSK554"/>
      <c r="PSL554"/>
      <c r="PSM554"/>
      <c r="PSN554"/>
      <c r="PSO554"/>
      <c r="PSP554"/>
      <c r="PSQ554"/>
      <c r="PSR554"/>
      <c r="PSS554"/>
      <c r="PST554"/>
      <c r="PSU554"/>
      <c r="PSV554"/>
      <c r="PSW554"/>
      <c r="PSX554"/>
      <c r="PSY554"/>
      <c r="PSZ554"/>
      <c r="PTA554"/>
      <c r="PTB554"/>
      <c r="PTC554"/>
      <c r="PTD554"/>
      <c r="PTE554"/>
      <c r="PTF554"/>
      <c r="PTG554"/>
      <c r="PTH554"/>
      <c r="PTI554"/>
      <c r="PTJ554"/>
      <c r="PTK554"/>
      <c r="PTL554"/>
      <c r="PTM554"/>
      <c r="PTN554"/>
      <c r="PTO554"/>
      <c r="PTP554"/>
      <c r="PTQ554"/>
      <c r="PTR554"/>
      <c r="PTS554"/>
      <c r="PTT554"/>
      <c r="PTU554"/>
      <c r="PTV554"/>
      <c r="PTW554"/>
      <c r="PTX554"/>
      <c r="PTY554"/>
      <c r="PTZ554"/>
      <c r="PUA554"/>
      <c r="PUB554"/>
      <c r="PUC554"/>
      <c r="PUD554"/>
      <c r="PUE554"/>
      <c r="PUF554"/>
      <c r="PUG554"/>
      <c r="PUH554"/>
      <c r="PUI554"/>
      <c r="PUJ554"/>
      <c r="PUK554"/>
      <c r="PUL554"/>
      <c r="PUM554"/>
      <c r="PUN554"/>
      <c r="PUO554"/>
      <c r="PUP554"/>
      <c r="PUQ554"/>
      <c r="PUR554"/>
      <c r="PUS554"/>
      <c r="PUT554"/>
      <c r="PUU554"/>
      <c r="PUV554"/>
      <c r="PUW554"/>
      <c r="PUX554"/>
      <c r="PUY554"/>
      <c r="PUZ554"/>
      <c r="PVA554"/>
      <c r="PVB554"/>
      <c r="PVC554"/>
      <c r="PVD554"/>
      <c r="PVE554"/>
      <c r="PVF554"/>
      <c r="PVG554"/>
      <c r="PVH554"/>
      <c r="PVI554"/>
      <c r="PVJ554"/>
      <c r="PVK554"/>
      <c r="PVL554"/>
      <c r="PVM554"/>
      <c r="PVN554"/>
      <c r="PVO554"/>
      <c r="PVP554"/>
      <c r="PVQ554"/>
      <c r="PVR554"/>
      <c r="PVS554"/>
      <c r="PVT554"/>
      <c r="PVU554"/>
      <c r="PVV554"/>
      <c r="PVW554"/>
      <c r="PVX554"/>
      <c r="PVY554"/>
      <c r="PVZ554"/>
      <c r="PWA554"/>
      <c r="PWB554"/>
      <c r="PWC554"/>
      <c r="PWD554"/>
      <c r="PWE554"/>
      <c r="PWF554"/>
      <c r="PWG554"/>
      <c r="PWH554"/>
      <c r="PWI554"/>
      <c r="PWJ554"/>
      <c r="PWK554"/>
      <c r="PWL554"/>
      <c r="PWM554"/>
      <c r="PWN554"/>
      <c r="PWO554"/>
      <c r="PWP554"/>
      <c r="PWQ554"/>
      <c r="PWR554"/>
      <c r="PWS554"/>
      <c r="PWT554"/>
      <c r="PWU554"/>
      <c r="PWV554"/>
      <c r="PWW554"/>
      <c r="PWX554"/>
      <c r="PWY554"/>
      <c r="PWZ554"/>
      <c r="PXA554"/>
      <c r="PXB554"/>
      <c r="PXC554"/>
      <c r="PXD554"/>
      <c r="PXE554"/>
      <c r="PXF554"/>
      <c r="PXG554"/>
      <c r="PXH554"/>
      <c r="PXI554"/>
      <c r="PXJ554"/>
      <c r="PXK554"/>
      <c r="PXL554"/>
      <c r="PXM554"/>
      <c r="PXN554"/>
      <c r="PXO554"/>
      <c r="PXP554"/>
      <c r="PXQ554"/>
      <c r="PXR554"/>
      <c r="PXS554"/>
      <c r="PXT554"/>
      <c r="PXU554"/>
      <c r="PXV554"/>
      <c r="PXW554"/>
      <c r="PXX554"/>
      <c r="PXY554"/>
      <c r="PXZ554"/>
      <c r="PYA554"/>
      <c r="PYB554"/>
      <c r="PYC554"/>
      <c r="PYD554"/>
      <c r="PYE554"/>
      <c r="PYF554"/>
      <c r="PYG554"/>
      <c r="PYH554"/>
      <c r="PYI554"/>
      <c r="PYJ554"/>
      <c r="PYK554"/>
      <c r="PYL554"/>
      <c r="PYM554"/>
      <c r="PYN554"/>
      <c r="PYO554"/>
      <c r="PYP554"/>
      <c r="PYQ554"/>
      <c r="PYR554"/>
      <c r="PYS554"/>
      <c r="PYT554"/>
      <c r="PYU554"/>
      <c r="PYV554"/>
      <c r="PYW554"/>
      <c r="PYX554"/>
      <c r="PYY554"/>
      <c r="PYZ554"/>
      <c r="PZA554"/>
      <c r="PZB554"/>
      <c r="PZC554"/>
      <c r="PZD554"/>
      <c r="PZE554"/>
      <c r="PZF554"/>
      <c r="PZG554"/>
      <c r="PZH554"/>
      <c r="PZI554"/>
      <c r="PZJ554"/>
      <c r="PZK554"/>
      <c r="PZL554"/>
      <c r="PZM554"/>
      <c r="PZN554"/>
      <c r="PZO554"/>
      <c r="PZP554"/>
      <c r="PZQ554"/>
      <c r="PZR554"/>
      <c r="PZS554"/>
      <c r="PZT554"/>
      <c r="PZU554"/>
      <c r="PZV554"/>
      <c r="PZW554"/>
      <c r="PZX554"/>
      <c r="PZY554"/>
      <c r="PZZ554"/>
      <c r="QAA554"/>
      <c r="QAB554"/>
      <c r="QAC554"/>
      <c r="QAD554"/>
      <c r="QAE554"/>
      <c r="QAF554"/>
      <c r="QAG554"/>
      <c r="QAH554"/>
      <c r="QAI554"/>
      <c r="QAJ554"/>
      <c r="QAK554"/>
      <c r="QAL554"/>
      <c r="QAM554"/>
      <c r="QAN554"/>
      <c r="QAO554"/>
      <c r="QAP554"/>
      <c r="QAQ554"/>
      <c r="QAR554"/>
      <c r="QAS554"/>
      <c r="QAT554"/>
      <c r="QAU554"/>
      <c r="QAV554"/>
      <c r="QAW554"/>
      <c r="QAX554"/>
      <c r="QAY554"/>
      <c r="QAZ554"/>
      <c r="QBA554"/>
      <c r="QBB554"/>
      <c r="QBC554"/>
      <c r="QBD554"/>
      <c r="QBE554"/>
      <c r="QBF554"/>
      <c r="QBG554"/>
      <c r="QBH554"/>
      <c r="QBI554"/>
      <c r="QBJ554"/>
      <c r="QBK554"/>
      <c r="QBL554"/>
      <c r="QBM554"/>
      <c r="QBN554"/>
      <c r="QBO554"/>
      <c r="QBP554"/>
      <c r="QBQ554"/>
      <c r="QBR554"/>
      <c r="QBS554"/>
      <c r="QBT554"/>
      <c r="QBU554"/>
      <c r="QBV554"/>
      <c r="QBW554"/>
      <c r="QBX554"/>
      <c r="QBY554"/>
      <c r="QBZ554"/>
      <c r="QCA554"/>
      <c r="QCB554"/>
      <c r="QCC554"/>
      <c r="QCD554"/>
      <c r="QCE554"/>
      <c r="QCF554"/>
      <c r="QCG554"/>
      <c r="QCH554"/>
      <c r="QCI554"/>
      <c r="QCJ554"/>
      <c r="QCK554"/>
      <c r="QCL554"/>
      <c r="QCM554"/>
      <c r="QCN554"/>
      <c r="QCO554"/>
      <c r="QCP554"/>
      <c r="QCQ554"/>
      <c r="QCR554"/>
      <c r="QCS554"/>
      <c r="QCT554"/>
      <c r="QCU554"/>
      <c r="QCV554"/>
      <c r="QCW554"/>
      <c r="QCX554"/>
      <c r="QCY554"/>
      <c r="QCZ554"/>
      <c r="QDA554"/>
      <c r="QDB554"/>
      <c r="QDC554"/>
      <c r="QDD554"/>
      <c r="QDE554"/>
      <c r="QDF554"/>
      <c r="QDG554"/>
      <c r="QDH554"/>
      <c r="QDI554"/>
      <c r="QDJ554"/>
      <c r="QDK554"/>
      <c r="QDL554"/>
      <c r="QDM554"/>
      <c r="QDN554"/>
      <c r="QDO554"/>
      <c r="QDP554"/>
      <c r="QDQ554"/>
      <c r="QDR554"/>
      <c r="QDS554"/>
      <c r="QDT554"/>
      <c r="QDU554"/>
      <c r="QDV554"/>
      <c r="QDW554"/>
      <c r="QDX554"/>
      <c r="QDY554"/>
      <c r="QDZ554"/>
      <c r="QEA554"/>
      <c r="QEB554"/>
      <c r="QEC554"/>
      <c r="QED554"/>
      <c r="QEE554"/>
      <c r="QEF554"/>
      <c r="QEG554"/>
      <c r="QEH554"/>
      <c r="QEI554"/>
      <c r="QEJ554"/>
      <c r="QEK554"/>
      <c r="QEL554"/>
      <c r="QEM554"/>
      <c r="QEN554"/>
      <c r="QEO554"/>
      <c r="QEP554"/>
      <c r="QEQ554"/>
      <c r="QER554"/>
      <c r="QES554"/>
      <c r="QET554"/>
      <c r="QEU554"/>
      <c r="QEV554"/>
      <c r="QEW554"/>
      <c r="QEX554"/>
      <c r="QEY554"/>
      <c r="QEZ554"/>
      <c r="QFA554"/>
      <c r="QFB554"/>
      <c r="QFC554"/>
      <c r="QFD554"/>
      <c r="QFE554"/>
      <c r="QFF554"/>
      <c r="QFG554"/>
      <c r="QFH554"/>
      <c r="QFI554"/>
      <c r="QFJ554"/>
      <c r="QFK554"/>
      <c r="QFL554"/>
      <c r="QFM554"/>
      <c r="QFN554"/>
      <c r="QFO554"/>
      <c r="QFP554"/>
      <c r="QFQ554"/>
      <c r="QFR554"/>
      <c r="QFS554"/>
      <c r="QFT554"/>
      <c r="QFU554"/>
      <c r="QFV554"/>
      <c r="QFW554"/>
      <c r="QFX554"/>
      <c r="QFY554"/>
      <c r="QFZ554"/>
      <c r="QGA554"/>
      <c r="QGB554"/>
      <c r="QGC554"/>
      <c r="QGD554"/>
      <c r="QGE554"/>
      <c r="QGF554"/>
      <c r="QGG554"/>
      <c r="QGH554"/>
      <c r="QGI554"/>
      <c r="QGJ554"/>
      <c r="QGK554"/>
      <c r="QGL554"/>
      <c r="QGM554"/>
      <c r="QGN554"/>
      <c r="QGO554"/>
      <c r="QGP554"/>
      <c r="QGQ554"/>
      <c r="QGR554"/>
      <c r="QGS554"/>
      <c r="QGT554"/>
      <c r="QGU554"/>
      <c r="QGV554"/>
      <c r="QGW554"/>
      <c r="QGX554"/>
      <c r="QGY554"/>
      <c r="QGZ554"/>
      <c r="QHA554"/>
      <c r="QHB554"/>
      <c r="QHC554"/>
      <c r="QHD554"/>
      <c r="QHE554"/>
      <c r="QHF554"/>
      <c r="QHG554"/>
      <c r="QHH554"/>
      <c r="QHI554"/>
      <c r="QHJ554"/>
      <c r="QHK554"/>
      <c r="QHL554"/>
      <c r="QHM554"/>
      <c r="QHN554"/>
      <c r="QHO554"/>
      <c r="QHP554"/>
      <c r="QHQ554"/>
      <c r="QHR554"/>
      <c r="QHS554"/>
      <c r="QHT554"/>
      <c r="QHU554"/>
      <c r="QHV554"/>
      <c r="QHW554"/>
      <c r="QHX554"/>
      <c r="QHY554"/>
      <c r="QHZ554"/>
      <c r="QIA554"/>
      <c r="QIB554"/>
      <c r="QIC554"/>
      <c r="QID554"/>
      <c r="QIE554"/>
      <c r="QIF554"/>
      <c r="QIG554"/>
      <c r="QIH554"/>
      <c r="QII554"/>
      <c r="QIJ554"/>
      <c r="QIK554"/>
      <c r="QIL554"/>
      <c r="QIM554"/>
      <c r="QIN554"/>
      <c r="QIO554"/>
      <c r="QIP554"/>
      <c r="QIQ554"/>
      <c r="QIR554"/>
      <c r="QIS554"/>
      <c r="QIT554"/>
      <c r="QIU554"/>
      <c r="QIV554"/>
      <c r="QIW554"/>
      <c r="QIX554"/>
      <c r="QIY554"/>
      <c r="QIZ554"/>
      <c r="QJA554"/>
      <c r="QJB554"/>
      <c r="QJC554"/>
      <c r="QJD554"/>
      <c r="QJE554"/>
      <c r="QJF554"/>
      <c r="QJG554"/>
      <c r="QJH554"/>
      <c r="QJI554"/>
      <c r="QJJ554"/>
      <c r="QJK554"/>
      <c r="QJL554"/>
      <c r="QJM554"/>
      <c r="QJN554"/>
      <c r="QJO554"/>
      <c r="QJP554"/>
      <c r="QJQ554"/>
      <c r="QJR554"/>
      <c r="QJS554"/>
      <c r="QJT554"/>
      <c r="QJU554"/>
      <c r="QJV554"/>
      <c r="QJW554"/>
      <c r="QJX554"/>
      <c r="QJY554"/>
      <c r="QJZ554"/>
      <c r="QKA554"/>
      <c r="QKB554"/>
      <c r="QKC554"/>
      <c r="QKD554"/>
      <c r="QKE554"/>
      <c r="QKF554"/>
      <c r="QKG554"/>
      <c r="QKH554"/>
      <c r="QKI554"/>
      <c r="QKJ554"/>
      <c r="QKK554"/>
      <c r="QKL554"/>
      <c r="QKM554"/>
      <c r="QKN554"/>
      <c r="QKO554"/>
      <c r="QKP554"/>
      <c r="QKQ554"/>
      <c r="QKR554"/>
      <c r="QKS554"/>
      <c r="QKT554"/>
      <c r="QKU554"/>
      <c r="QKV554"/>
      <c r="QKW554"/>
      <c r="QKX554"/>
      <c r="QKY554"/>
      <c r="QKZ554"/>
      <c r="QLA554"/>
      <c r="QLB554"/>
      <c r="QLC554"/>
      <c r="QLD554"/>
      <c r="QLE554"/>
      <c r="QLF554"/>
      <c r="QLG554"/>
      <c r="QLH554"/>
      <c r="QLI554"/>
      <c r="QLJ554"/>
      <c r="QLK554"/>
      <c r="QLL554"/>
      <c r="QLM554"/>
      <c r="QLN554"/>
      <c r="QLO554"/>
      <c r="QLP554"/>
      <c r="QLQ554"/>
      <c r="QLR554"/>
      <c r="QLS554"/>
      <c r="QLT554"/>
      <c r="QLU554"/>
      <c r="QLV554"/>
      <c r="QLW554"/>
      <c r="QLX554"/>
      <c r="QLY554"/>
      <c r="QLZ554"/>
      <c r="QMA554"/>
      <c r="QMB554"/>
      <c r="QMC554"/>
      <c r="QMD554"/>
      <c r="QME554"/>
      <c r="QMF554"/>
      <c r="QMG554"/>
      <c r="QMH554"/>
      <c r="QMI554"/>
      <c r="QMJ554"/>
      <c r="QMK554"/>
      <c r="QML554"/>
      <c r="QMM554"/>
      <c r="QMN554"/>
      <c r="QMO554"/>
      <c r="QMP554"/>
      <c r="QMQ554"/>
      <c r="QMR554"/>
      <c r="QMS554"/>
      <c r="QMT554"/>
      <c r="QMU554"/>
      <c r="QMV554"/>
      <c r="QMW554"/>
      <c r="QMX554"/>
      <c r="QMY554"/>
      <c r="QMZ554"/>
      <c r="QNA554"/>
      <c r="QNB554"/>
      <c r="QNC554"/>
      <c r="QND554"/>
      <c r="QNE554"/>
      <c r="QNF554"/>
      <c r="QNG554"/>
      <c r="QNH554"/>
      <c r="QNI554"/>
      <c r="QNJ554"/>
      <c r="QNK554"/>
      <c r="QNL554"/>
      <c r="QNM554"/>
      <c r="QNN554"/>
      <c r="QNO554"/>
      <c r="QNP554"/>
      <c r="QNQ554"/>
      <c r="QNR554"/>
      <c r="QNS554"/>
      <c r="QNT554"/>
      <c r="QNU554"/>
      <c r="QNV554"/>
      <c r="QNW554"/>
      <c r="QNX554"/>
      <c r="QNY554"/>
      <c r="QNZ554"/>
      <c r="QOA554"/>
      <c r="QOB554"/>
      <c r="QOC554"/>
      <c r="QOD554"/>
      <c r="QOE554"/>
      <c r="QOF554"/>
      <c r="QOG554"/>
      <c r="QOH554"/>
      <c r="QOI554"/>
      <c r="QOJ554"/>
      <c r="QOK554"/>
      <c r="QOL554"/>
      <c r="QOM554"/>
      <c r="QON554"/>
      <c r="QOO554"/>
      <c r="QOP554"/>
      <c r="QOQ554"/>
      <c r="QOR554"/>
      <c r="QOS554"/>
      <c r="QOT554"/>
      <c r="QOU554"/>
      <c r="QOV554"/>
      <c r="QOW554"/>
      <c r="QOX554"/>
      <c r="QOY554"/>
      <c r="QOZ554"/>
      <c r="QPA554"/>
      <c r="QPB554"/>
      <c r="QPC554"/>
      <c r="QPD554"/>
      <c r="QPE554"/>
      <c r="QPF554"/>
      <c r="QPG554"/>
      <c r="QPH554"/>
      <c r="QPI554"/>
      <c r="QPJ554"/>
      <c r="QPK554"/>
      <c r="QPL554"/>
      <c r="QPM554"/>
      <c r="QPN554"/>
      <c r="QPO554"/>
      <c r="QPP554"/>
      <c r="QPQ554"/>
      <c r="QPR554"/>
      <c r="QPS554"/>
      <c r="QPT554"/>
      <c r="QPU554"/>
      <c r="QPV554"/>
      <c r="QPW554"/>
      <c r="QPX554"/>
      <c r="QPY554"/>
      <c r="QPZ554"/>
      <c r="QQA554"/>
      <c r="QQB554"/>
      <c r="QQC554"/>
      <c r="QQD554"/>
      <c r="QQE554"/>
      <c r="QQF554"/>
      <c r="QQG554"/>
      <c r="QQH554"/>
      <c r="QQI554"/>
      <c r="QQJ554"/>
      <c r="QQK554"/>
      <c r="QQL554"/>
      <c r="QQM554"/>
      <c r="QQN554"/>
      <c r="QQO554"/>
      <c r="QQP554"/>
      <c r="QQQ554"/>
      <c r="QQR554"/>
      <c r="QQS554"/>
      <c r="QQT554"/>
      <c r="QQU554"/>
      <c r="QQV554"/>
      <c r="QQW554"/>
      <c r="QQX554"/>
      <c r="QQY554"/>
      <c r="QQZ554"/>
      <c r="QRA554"/>
      <c r="QRB554"/>
      <c r="QRC554"/>
      <c r="QRD554"/>
      <c r="QRE554"/>
      <c r="QRF554"/>
      <c r="QRG554"/>
      <c r="QRH554"/>
      <c r="QRI554"/>
      <c r="QRJ554"/>
      <c r="QRK554"/>
      <c r="QRL554"/>
      <c r="QRM554"/>
      <c r="QRN554"/>
      <c r="QRO554"/>
      <c r="QRP554"/>
      <c r="QRQ554"/>
      <c r="QRR554"/>
      <c r="QRS554"/>
      <c r="QRT554"/>
      <c r="QRU554"/>
      <c r="QRV554"/>
      <c r="QRW554"/>
      <c r="QRX554"/>
      <c r="QRY554"/>
      <c r="QRZ554"/>
      <c r="QSA554"/>
      <c r="QSB554"/>
      <c r="QSC554"/>
      <c r="QSD554"/>
      <c r="QSE554"/>
      <c r="QSF554"/>
      <c r="QSG554"/>
      <c r="QSH554"/>
      <c r="QSI554"/>
      <c r="QSJ554"/>
      <c r="QSK554"/>
      <c r="QSL554"/>
      <c r="QSM554"/>
      <c r="QSN554"/>
      <c r="QSO554"/>
      <c r="QSP554"/>
      <c r="QSQ554"/>
      <c r="QSR554"/>
      <c r="QSS554"/>
      <c r="QST554"/>
      <c r="QSU554"/>
      <c r="QSV554"/>
      <c r="QSW554"/>
      <c r="QSX554"/>
      <c r="QSY554"/>
      <c r="QSZ554"/>
      <c r="QTA554"/>
      <c r="QTB554"/>
      <c r="QTC554"/>
      <c r="QTD554"/>
      <c r="QTE554"/>
      <c r="QTF554"/>
      <c r="QTG554"/>
      <c r="QTH554"/>
      <c r="QTI554"/>
      <c r="QTJ554"/>
      <c r="QTK554"/>
      <c r="QTL554"/>
      <c r="QTM554"/>
      <c r="QTN554"/>
      <c r="QTO554"/>
      <c r="QTP554"/>
      <c r="QTQ554"/>
      <c r="QTR554"/>
      <c r="QTS554"/>
      <c r="QTT554"/>
      <c r="QTU554"/>
      <c r="QTV554"/>
      <c r="QTW554"/>
      <c r="QTX554"/>
      <c r="QTY554"/>
      <c r="QTZ554"/>
      <c r="QUA554"/>
      <c r="QUB554"/>
      <c r="QUC554"/>
      <c r="QUD554"/>
      <c r="QUE554"/>
      <c r="QUF554"/>
      <c r="QUG554"/>
      <c r="QUH554"/>
      <c r="QUI554"/>
      <c r="QUJ554"/>
      <c r="QUK554"/>
      <c r="QUL554"/>
      <c r="QUM554"/>
      <c r="QUN554"/>
      <c r="QUO554"/>
      <c r="QUP554"/>
      <c r="QUQ554"/>
      <c r="QUR554"/>
      <c r="QUS554"/>
      <c r="QUT554"/>
      <c r="QUU554"/>
      <c r="QUV554"/>
      <c r="QUW554"/>
      <c r="QUX554"/>
      <c r="QUY554"/>
      <c r="QUZ554"/>
      <c r="QVA554"/>
      <c r="QVB554"/>
      <c r="QVC554"/>
      <c r="QVD554"/>
      <c r="QVE554"/>
      <c r="QVF554"/>
      <c r="QVG554"/>
      <c r="QVH554"/>
      <c r="QVI554"/>
      <c r="QVJ554"/>
      <c r="QVK554"/>
      <c r="QVL554"/>
      <c r="QVM554"/>
      <c r="QVN554"/>
      <c r="QVO554"/>
      <c r="QVP554"/>
      <c r="QVQ554"/>
      <c r="QVR554"/>
      <c r="QVS554"/>
      <c r="QVT554"/>
      <c r="QVU554"/>
      <c r="QVV554"/>
      <c r="QVW554"/>
      <c r="QVX554"/>
      <c r="QVY554"/>
      <c r="QVZ554"/>
      <c r="QWA554"/>
      <c r="QWB554"/>
      <c r="QWC554"/>
      <c r="QWD554"/>
      <c r="QWE554"/>
      <c r="QWF554"/>
      <c r="QWG554"/>
      <c r="QWH554"/>
      <c r="QWI554"/>
      <c r="QWJ554"/>
      <c r="QWK554"/>
      <c r="QWL554"/>
      <c r="QWM554"/>
      <c r="QWN554"/>
      <c r="QWO554"/>
      <c r="QWP554"/>
      <c r="QWQ554"/>
      <c r="QWR554"/>
      <c r="QWS554"/>
      <c r="QWT554"/>
      <c r="QWU554"/>
      <c r="QWV554"/>
      <c r="QWW554"/>
      <c r="QWX554"/>
      <c r="QWY554"/>
      <c r="QWZ554"/>
      <c r="QXA554"/>
      <c r="QXB554"/>
      <c r="QXC554"/>
      <c r="QXD554"/>
      <c r="QXE554"/>
      <c r="QXF554"/>
      <c r="QXG554"/>
      <c r="QXH554"/>
      <c r="QXI554"/>
      <c r="QXJ554"/>
      <c r="QXK554"/>
      <c r="QXL554"/>
      <c r="QXM554"/>
      <c r="QXN554"/>
      <c r="QXO554"/>
      <c r="QXP554"/>
      <c r="QXQ554"/>
      <c r="QXR554"/>
      <c r="QXS554"/>
      <c r="QXT554"/>
      <c r="QXU554"/>
      <c r="QXV554"/>
      <c r="QXW554"/>
      <c r="QXX554"/>
      <c r="QXY554"/>
      <c r="QXZ554"/>
      <c r="QYA554"/>
      <c r="QYB554"/>
      <c r="QYC554"/>
      <c r="QYD554"/>
      <c r="QYE554"/>
      <c r="QYF554"/>
      <c r="QYG554"/>
      <c r="QYH554"/>
      <c r="QYI554"/>
      <c r="QYJ554"/>
      <c r="QYK554"/>
      <c r="QYL554"/>
      <c r="QYM554"/>
      <c r="QYN554"/>
      <c r="QYO554"/>
      <c r="QYP554"/>
      <c r="QYQ554"/>
      <c r="QYR554"/>
      <c r="QYS554"/>
      <c r="QYT554"/>
      <c r="QYU554"/>
      <c r="QYV554"/>
      <c r="QYW554"/>
      <c r="QYX554"/>
      <c r="QYY554"/>
      <c r="QYZ554"/>
      <c r="QZA554"/>
      <c r="QZB554"/>
      <c r="QZC554"/>
      <c r="QZD554"/>
      <c r="QZE554"/>
      <c r="QZF554"/>
      <c r="QZG554"/>
      <c r="QZH554"/>
      <c r="QZI554"/>
      <c r="QZJ554"/>
      <c r="QZK554"/>
      <c r="QZL554"/>
      <c r="QZM554"/>
      <c r="QZN554"/>
      <c r="QZO554"/>
      <c r="QZP554"/>
      <c r="QZQ554"/>
      <c r="QZR554"/>
      <c r="QZS554"/>
      <c r="QZT554"/>
      <c r="QZU554"/>
      <c r="QZV554"/>
      <c r="QZW554"/>
      <c r="QZX554"/>
      <c r="QZY554"/>
      <c r="QZZ554"/>
      <c r="RAA554"/>
      <c r="RAB554"/>
      <c r="RAC554"/>
      <c r="RAD554"/>
      <c r="RAE554"/>
      <c r="RAF554"/>
      <c r="RAG554"/>
      <c r="RAH554"/>
      <c r="RAI554"/>
      <c r="RAJ554"/>
      <c r="RAK554"/>
      <c r="RAL554"/>
      <c r="RAM554"/>
      <c r="RAN554"/>
      <c r="RAO554"/>
      <c r="RAP554"/>
      <c r="RAQ554"/>
      <c r="RAR554"/>
      <c r="RAS554"/>
      <c r="RAT554"/>
      <c r="RAU554"/>
      <c r="RAV554"/>
      <c r="RAW554"/>
      <c r="RAX554"/>
      <c r="RAY554"/>
      <c r="RAZ554"/>
      <c r="RBA554"/>
      <c r="RBB554"/>
      <c r="RBC554"/>
      <c r="RBD554"/>
      <c r="RBE554"/>
      <c r="RBF554"/>
      <c r="RBG554"/>
      <c r="RBH554"/>
      <c r="RBI554"/>
      <c r="RBJ554"/>
      <c r="RBK554"/>
      <c r="RBL554"/>
      <c r="RBM554"/>
      <c r="RBN554"/>
      <c r="RBO554"/>
      <c r="RBP554"/>
      <c r="RBQ554"/>
      <c r="RBR554"/>
      <c r="RBS554"/>
      <c r="RBT554"/>
      <c r="RBU554"/>
      <c r="RBV554"/>
      <c r="RBW554"/>
      <c r="RBX554"/>
      <c r="RBY554"/>
      <c r="RBZ554"/>
      <c r="RCA554"/>
      <c r="RCB554"/>
      <c r="RCC554"/>
      <c r="RCD554"/>
      <c r="RCE554"/>
      <c r="RCF554"/>
      <c r="RCG554"/>
      <c r="RCH554"/>
      <c r="RCI554"/>
      <c r="RCJ554"/>
      <c r="RCK554"/>
      <c r="RCL554"/>
      <c r="RCM554"/>
      <c r="RCN554"/>
      <c r="RCO554"/>
      <c r="RCP554"/>
      <c r="RCQ554"/>
      <c r="RCR554"/>
      <c r="RCS554"/>
      <c r="RCT554"/>
      <c r="RCU554"/>
      <c r="RCV554"/>
      <c r="RCW554"/>
      <c r="RCX554"/>
      <c r="RCY554"/>
      <c r="RCZ554"/>
      <c r="RDA554"/>
      <c r="RDB554"/>
      <c r="RDC554"/>
      <c r="RDD554"/>
      <c r="RDE554"/>
      <c r="RDF554"/>
      <c r="RDG554"/>
      <c r="RDH554"/>
      <c r="RDI554"/>
      <c r="RDJ554"/>
      <c r="RDK554"/>
      <c r="RDL554"/>
      <c r="RDM554"/>
      <c r="RDN554"/>
      <c r="RDO554"/>
      <c r="RDP554"/>
      <c r="RDQ554"/>
      <c r="RDR554"/>
      <c r="RDS554"/>
      <c r="RDT554"/>
      <c r="RDU554"/>
      <c r="RDV554"/>
      <c r="RDW554"/>
      <c r="RDX554"/>
      <c r="RDY554"/>
      <c r="RDZ554"/>
      <c r="REA554"/>
      <c r="REB554"/>
      <c r="REC554"/>
      <c r="RED554"/>
      <c r="REE554"/>
      <c r="REF554"/>
      <c r="REG554"/>
      <c r="REH554"/>
      <c r="REI554"/>
      <c r="REJ554"/>
      <c r="REK554"/>
      <c r="REL554"/>
      <c r="REM554"/>
      <c r="REN554"/>
      <c r="REO554"/>
      <c r="REP554"/>
      <c r="REQ554"/>
      <c r="RER554"/>
      <c r="RES554"/>
      <c r="RET554"/>
      <c r="REU554"/>
      <c r="REV554"/>
      <c r="REW554"/>
      <c r="REX554"/>
      <c r="REY554"/>
      <c r="REZ554"/>
      <c r="RFA554"/>
      <c r="RFB554"/>
      <c r="RFC554"/>
      <c r="RFD554"/>
      <c r="RFE554"/>
      <c r="RFF554"/>
      <c r="RFG554"/>
      <c r="RFH554"/>
      <c r="RFI554"/>
      <c r="RFJ554"/>
      <c r="RFK554"/>
      <c r="RFL554"/>
      <c r="RFM554"/>
      <c r="RFN554"/>
      <c r="RFO554"/>
      <c r="RFP554"/>
      <c r="RFQ554"/>
      <c r="RFR554"/>
      <c r="RFS554"/>
      <c r="RFT554"/>
      <c r="RFU554"/>
      <c r="RFV554"/>
      <c r="RFW554"/>
      <c r="RFX554"/>
      <c r="RFY554"/>
      <c r="RFZ554"/>
      <c r="RGA554"/>
      <c r="RGB554"/>
      <c r="RGC554"/>
      <c r="RGD554"/>
      <c r="RGE554"/>
      <c r="RGF554"/>
      <c r="RGG554"/>
      <c r="RGH554"/>
      <c r="RGI554"/>
      <c r="RGJ554"/>
      <c r="RGK554"/>
      <c r="RGL554"/>
      <c r="RGM554"/>
      <c r="RGN554"/>
      <c r="RGO554"/>
      <c r="RGP554"/>
      <c r="RGQ554"/>
      <c r="RGR554"/>
      <c r="RGS554"/>
      <c r="RGT554"/>
      <c r="RGU554"/>
      <c r="RGV554"/>
      <c r="RGW554"/>
      <c r="RGX554"/>
      <c r="RGY554"/>
      <c r="RGZ554"/>
      <c r="RHA554"/>
      <c r="RHB554"/>
      <c r="RHC554"/>
      <c r="RHD554"/>
      <c r="RHE554"/>
      <c r="RHF554"/>
      <c r="RHG554"/>
      <c r="RHH554"/>
      <c r="RHI554"/>
      <c r="RHJ554"/>
      <c r="RHK554"/>
      <c r="RHL554"/>
      <c r="RHM554"/>
      <c r="RHN554"/>
      <c r="RHO554"/>
      <c r="RHP554"/>
      <c r="RHQ554"/>
      <c r="RHR554"/>
      <c r="RHS554"/>
      <c r="RHT554"/>
      <c r="RHU554"/>
      <c r="RHV554"/>
      <c r="RHW554"/>
      <c r="RHX554"/>
      <c r="RHY554"/>
      <c r="RHZ554"/>
      <c r="RIA554"/>
      <c r="RIB554"/>
      <c r="RIC554"/>
      <c r="RID554"/>
      <c r="RIE554"/>
      <c r="RIF554"/>
      <c r="RIG554"/>
      <c r="RIH554"/>
      <c r="RII554"/>
      <c r="RIJ554"/>
      <c r="RIK554"/>
      <c r="RIL554"/>
      <c r="RIM554"/>
      <c r="RIN554"/>
      <c r="RIO554"/>
      <c r="RIP554"/>
      <c r="RIQ554"/>
      <c r="RIR554"/>
      <c r="RIS554"/>
      <c r="RIT554"/>
      <c r="RIU554"/>
      <c r="RIV554"/>
      <c r="RIW554"/>
      <c r="RIX554"/>
      <c r="RIY554"/>
      <c r="RIZ554"/>
      <c r="RJA554"/>
      <c r="RJB554"/>
      <c r="RJC554"/>
      <c r="RJD554"/>
      <c r="RJE554"/>
      <c r="RJF554"/>
      <c r="RJG554"/>
      <c r="RJH554"/>
      <c r="RJI554"/>
      <c r="RJJ554"/>
      <c r="RJK554"/>
      <c r="RJL554"/>
      <c r="RJM554"/>
      <c r="RJN554"/>
      <c r="RJO554"/>
      <c r="RJP554"/>
      <c r="RJQ554"/>
      <c r="RJR554"/>
      <c r="RJS554"/>
      <c r="RJT554"/>
      <c r="RJU554"/>
      <c r="RJV554"/>
      <c r="RJW554"/>
      <c r="RJX554"/>
      <c r="RJY554"/>
      <c r="RJZ554"/>
      <c r="RKA554"/>
      <c r="RKB554"/>
      <c r="RKC554"/>
      <c r="RKD554"/>
      <c r="RKE554"/>
      <c r="RKF554"/>
      <c r="RKG554"/>
      <c r="RKH554"/>
      <c r="RKI554"/>
      <c r="RKJ554"/>
      <c r="RKK554"/>
      <c r="RKL554"/>
      <c r="RKM554"/>
      <c r="RKN554"/>
      <c r="RKO554"/>
      <c r="RKP554"/>
      <c r="RKQ554"/>
      <c r="RKR554"/>
      <c r="RKS554"/>
      <c r="RKT554"/>
      <c r="RKU554"/>
      <c r="RKV554"/>
      <c r="RKW554"/>
      <c r="RKX554"/>
      <c r="RKY554"/>
      <c r="RKZ554"/>
      <c r="RLA554"/>
      <c r="RLB554"/>
      <c r="RLC554"/>
      <c r="RLD554"/>
      <c r="RLE554"/>
      <c r="RLF554"/>
      <c r="RLG554"/>
      <c r="RLH554"/>
      <c r="RLI554"/>
      <c r="RLJ554"/>
      <c r="RLK554"/>
      <c r="RLL554"/>
      <c r="RLM554"/>
      <c r="RLN554"/>
      <c r="RLO554"/>
      <c r="RLP554"/>
      <c r="RLQ554"/>
      <c r="RLR554"/>
      <c r="RLS554"/>
      <c r="RLT554"/>
      <c r="RLU554"/>
      <c r="RLV554"/>
      <c r="RLW554"/>
      <c r="RLX554"/>
      <c r="RLY554"/>
      <c r="RLZ554"/>
      <c r="RMA554"/>
      <c r="RMB554"/>
      <c r="RMC554"/>
      <c r="RMD554"/>
      <c r="RME554"/>
      <c r="RMF554"/>
      <c r="RMG554"/>
      <c r="RMH554"/>
      <c r="RMI554"/>
      <c r="RMJ554"/>
      <c r="RMK554"/>
      <c r="RML554"/>
      <c r="RMM554"/>
      <c r="RMN554"/>
      <c r="RMO554"/>
      <c r="RMP554"/>
      <c r="RMQ554"/>
      <c r="RMR554"/>
      <c r="RMS554"/>
      <c r="RMT554"/>
      <c r="RMU554"/>
      <c r="RMV554"/>
      <c r="RMW554"/>
      <c r="RMX554"/>
      <c r="RMY554"/>
      <c r="RMZ554"/>
      <c r="RNA554"/>
      <c r="RNB554"/>
      <c r="RNC554"/>
      <c r="RND554"/>
      <c r="RNE554"/>
      <c r="RNF554"/>
      <c r="RNG554"/>
      <c r="RNH554"/>
      <c r="RNI554"/>
      <c r="RNJ554"/>
      <c r="RNK554"/>
      <c r="RNL554"/>
      <c r="RNM554"/>
      <c r="RNN554"/>
      <c r="RNO554"/>
      <c r="RNP554"/>
      <c r="RNQ554"/>
      <c r="RNR554"/>
      <c r="RNS554"/>
      <c r="RNT554"/>
      <c r="RNU554"/>
      <c r="RNV554"/>
      <c r="RNW554"/>
      <c r="RNX554"/>
      <c r="RNY554"/>
      <c r="RNZ554"/>
      <c r="ROA554"/>
      <c r="ROB554"/>
      <c r="ROC554"/>
      <c r="ROD554"/>
      <c r="ROE554"/>
      <c r="ROF554"/>
      <c r="ROG554"/>
      <c r="ROH554"/>
      <c r="ROI554"/>
      <c r="ROJ554"/>
      <c r="ROK554"/>
      <c r="ROL554"/>
      <c r="ROM554"/>
      <c r="RON554"/>
      <c r="ROO554"/>
      <c r="ROP554"/>
      <c r="ROQ554"/>
      <c r="ROR554"/>
      <c r="ROS554"/>
      <c r="ROT554"/>
      <c r="ROU554"/>
      <c r="ROV554"/>
      <c r="ROW554"/>
      <c r="ROX554"/>
      <c r="ROY554"/>
      <c r="ROZ554"/>
      <c r="RPA554"/>
      <c r="RPB554"/>
      <c r="RPC554"/>
      <c r="RPD554"/>
      <c r="RPE554"/>
      <c r="RPF554"/>
      <c r="RPG554"/>
      <c r="RPH554"/>
      <c r="RPI554"/>
      <c r="RPJ554"/>
      <c r="RPK554"/>
      <c r="RPL554"/>
      <c r="RPM554"/>
      <c r="RPN554"/>
      <c r="RPO554"/>
      <c r="RPP554"/>
      <c r="RPQ554"/>
      <c r="RPR554"/>
      <c r="RPS554"/>
      <c r="RPT554"/>
      <c r="RPU554"/>
      <c r="RPV554"/>
      <c r="RPW554"/>
      <c r="RPX554"/>
      <c r="RPY554"/>
      <c r="RPZ554"/>
      <c r="RQA554"/>
      <c r="RQB554"/>
      <c r="RQC554"/>
      <c r="RQD554"/>
      <c r="RQE554"/>
      <c r="RQF554"/>
      <c r="RQG554"/>
      <c r="RQH554"/>
      <c r="RQI554"/>
      <c r="RQJ554"/>
      <c r="RQK554"/>
      <c r="RQL554"/>
      <c r="RQM554"/>
      <c r="RQN554"/>
      <c r="RQO554"/>
      <c r="RQP554"/>
      <c r="RQQ554"/>
      <c r="RQR554"/>
      <c r="RQS554"/>
      <c r="RQT554"/>
      <c r="RQU554"/>
      <c r="RQV554"/>
      <c r="RQW554"/>
      <c r="RQX554"/>
      <c r="RQY554"/>
      <c r="RQZ554"/>
      <c r="RRA554"/>
      <c r="RRB554"/>
      <c r="RRC554"/>
      <c r="RRD554"/>
      <c r="RRE554"/>
      <c r="RRF554"/>
      <c r="RRG554"/>
      <c r="RRH554"/>
      <c r="RRI554"/>
      <c r="RRJ554"/>
      <c r="RRK554"/>
      <c r="RRL554"/>
      <c r="RRM554"/>
      <c r="RRN554"/>
      <c r="RRO554"/>
      <c r="RRP554"/>
      <c r="RRQ554"/>
      <c r="RRR554"/>
      <c r="RRS554"/>
      <c r="RRT554"/>
      <c r="RRU554"/>
      <c r="RRV554"/>
      <c r="RRW554"/>
      <c r="RRX554"/>
      <c r="RRY554"/>
      <c r="RRZ554"/>
      <c r="RSA554"/>
      <c r="RSB554"/>
      <c r="RSC554"/>
      <c r="RSD554"/>
      <c r="RSE554"/>
      <c r="RSF554"/>
      <c r="RSG554"/>
      <c r="RSH554"/>
      <c r="RSI554"/>
      <c r="RSJ554"/>
      <c r="RSK554"/>
      <c r="RSL554"/>
      <c r="RSM554"/>
      <c r="RSN554"/>
      <c r="RSO554"/>
      <c r="RSP554"/>
      <c r="RSQ554"/>
      <c r="RSR554"/>
      <c r="RSS554"/>
      <c r="RST554"/>
      <c r="RSU554"/>
      <c r="RSV554"/>
      <c r="RSW554"/>
      <c r="RSX554"/>
      <c r="RSY554"/>
      <c r="RSZ554"/>
      <c r="RTA554"/>
      <c r="RTB554"/>
      <c r="RTC554"/>
      <c r="RTD554"/>
      <c r="RTE554"/>
      <c r="RTF554"/>
      <c r="RTG554"/>
      <c r="RTH554"/>
      <c r="RTI554"/>
      <c r="RTJ554"/>
      <c r="RTK554"/>
      <c r="RTL554"/>
      <c r="RTM554"/>
      <c r="RTN554"/>
      <c r="RTO554"/>
      <c r="RTP554"/>
      <c r="RTQ554"/>
      <c r="RTR554"/>
      <c r="RTS554"/>
      <c r="RTT554"/>
      <c r="RTU554"/>
      <c r="RTV554"/>
      <c r="RTW554"/>
      <c r="RTX554"/>
      <c r="RTY554"/>
      <c r="RTZ554"/>
      <c r="RUA554"/>
      <c r="RUB554"/>
      <c r="RUC554"/>
      <c r="RUD554"/>
      <c r="RUE554"/>
      <c r="RUF554"/>
      <c r="RUG554"/>
      <c r="RUH554"/>
      <c r="RUI554"/>
      <c r="RUJ554"/>
      <c r="RUK554"/>
      <c r="RUL554"/>
      <c r="RUM554"/>
      <c r="RUN554"/>
      <c r="RUO554"/>
      <c r="RUP554"/>
      <c r="RUQ554"/>
      <c r="RUR554"/>
      <c r="RUS554"/>
      <c r="RUT554"/>
      <c r="RUU554"/>
      <c r="RUV554"/>
      <c r="RUW554"/>
      <c r="RUX554"/>
      <c r="RUY554"/>
      <c r="RUZ554"/>
      <c r="RVA554"/>
      <c r="RVB554"/>
      <c r="RVC554"/>
      <c r="RVD554"/>
      <c r="RVE554"/>
      <c r="RVF554"/>
      <c r="RVG554"/>
      <c r="RVH554"/>
      <c r="RVI554"/>
      <c r="RVJ554"/>
      <c r="RVK554"/>
      <c r="RVL554"/>
      <c r="RVM554"/>
      <c r="RVN554"/>
      <c r="RVO554"/>
      <c r="RVP554"/>
      <c r="RVQ554"/>
      <c r="RVR554"/>
      <c r="RVS554"/>
      <c r="RVT554"/>
      <c r="RVU554"/>
      <c r="RVV554"/>
      <c r="RVW554"/>
      <c r="RVX554"/>
      <c r="RVY554"/>
      <c r="RVZ554"/>
      <c r="RWA554"/>
      <c r="RWB554"/>
      <c r="RWC554"/>
      <c r="RWD554"/>
      <c r="RWE554"/>
      <c r="RWF554"/>
      <c r="RWG554"/>
      <c r="RWH554"/>
      <c r="RWI554"/>
      <c r="RWJ554"/>
      <c r="RWK554"/>
      <c r="RWL554"/>
      <c r="RWM554"/>
      <c r="RWN554"/>
      <c r="RWO554"/>
      <c r="RWP554"/>
      <c r="RWQ554"/>
      <c r="RWR554"/>
      <c r="RWS554"/>
      <c r="RWT554"/>
      <c r="RWU554"/>
      <c r="RWV554"/>
      <c r="RWW554"/>
      <c r="RWX554"/>
      <c r="RWY554"/>
      <c r="RWZ554"/>
      <c r="RXA554"/>
      <c r="RXB554"/>
      <c r="RXC554"/>
      <c r="RXD554"/>
      <c r="RXE554"/>
      <c r="RXF554"/>
      <c r="RXG554"/>
      <c r="RXH554"/>
      <c r="RXI554"/>
      <c r="RXJ554"/>
      <c r="RXK554"/>
      <c r="RXL554"/>
      <c r="RXM554"/>
      <c r="RXN554"/>
      <c r="RXO554"/>
      <c r="RXP554"/>
      <c r="RXQ554"/>
      <c r="RXR554"/>
      <c r="RXS554"/>
      <c r="RXT554"/>
      <c r="RXU554"/>
      <c r="RXV554"/>
      <c r="RXW554"/>
      <c r="RXX554"/>
      <c r="RXY554"/>
      <c r="RXZ554"/>
      <c r="RYA554"/>
      <c r="RYB554"/>
      <c r="RYC554"/>
      <c r="RYD554"/>
      <c r="RYE554"/>
      <c r="RYF554"/>
      <c r="RYG554"/>
      <c r="RYH554"/>
      <c r="RYI554"/>
      <c r="RYJ554"/>
      <c r="RYK554"/>
      <c r="RYL554"/>
      <c r="RYM554"/>
      <c r="RYN554"/>
      <c r="RYO554"/>
      <c r="RYP554"/>
      <c r="RYQ554"/>
      <c r="RYR554"/>
      <c r="RYS554"/>
      <c r="RYT554"/>
      <c r="RYU554"/>
      <c r="RYV554"/>
      <c r="RYW554"/>
      <c r="RYX554"/>
      <c r="RYY554"/>
      <c r="RYZ554"/>
      <c r="RZA554"/>
      <c r="RZB554"/>
      <c r="RZC554"/>
      <c r="RZD554"/>
      <c r="RZE554"/>
      <c r="RZF554"/>
      <c r="RZG554"/>
      <c r="RZH554"/>
      <c r="RZI554"/>
      <c r="RZJ554"/>
      <c r="RZK554"/>
      <c r="RZL554"/>
      <c r="RZM554"/>
      <c r="RZN554"/>
      <c r="RZO554"/>
      <c r="RZP554"/>
      <c r="RZQ554"/>
      <c r="RZR554"/>
      <c r="RZS554"/>
      <c r="RZT554"/>
      <c r="RZU554"/>
      <c r="RZV554"/>
      <c r="RZW554"/>
      <c r="RZX554"/>
      <c r="RZY554"/>
      <c r="RZZ554"/>
      <c r="SAA554"/>
      <c r="SAB554"/>
      <c r="SAC554"/>
      <c r="SAD554"/>
      <c r="SAE554"/>
      <c r="SAF554"/>
      <c r="SAG554"/>
      <c r="SAH554"/>
      <c r="SAI554"/>
      <c r="SAJ554"/>
      <c r="SAK554"/>
      <c r="SAL554"/>
      <c r="SAM554"/>
      <c r="SAN554"/>
      <c r="SAO554"/>
      <c r="SAP554"/>
      <c r="SAQ554"/>
      <c r="SAR554"/>
      <c r="SAS554"/>
      <c r="SAT554"/>
      <c r="SAU554"/>
      <c r="SAV554"/>
      <c r="SAW554"/>
      <c r="SAX554"/>
      <c r="SAY554"/>
      <c r="SAZ554"/>
      <c r="SBA554"/>
      <c r="SBB554"/>
      <c r="SBC554"/>
      <c r="SBD554"/>
      <c r="SBE554"/>
      <c r="SBF554"/>
      <c r="SBG554"/>
      <c r="SBH554"/>
      <c r="SBI554"/>
      <c r="SBJ554"/>
      <c r="SBK554"/>
      <c r="SBL554"/>
      <c r="SBM554"/>
      <c r="SBN554"/>
      <c r="SBO554"/>
      <c r="SBP554"/>
      <c r="SBQ554"/>
      <c r="SBR554"/>
      <c r="SBS554"/>
      <c r="SBT554"/>
      <c r="SBU554"/>
      <c r="SBV554"/>
      <c r="SBW554"/>
      <c r="SBX554"/>
      <c r="SBY554"/>
      <c r="SBZ554"/>
      <c r="SCA554"/>
      <c r="SCB554"/>
      <c r="SCC554"/>
      <c r="SCD554"/>
      <c r="SCE554"/>
      <c r="SCF554"/>
      <c r="SCG554"/>
      <c r="SCH554"/>
      <c r="SCI554"/>
      <c r="SCJ554"/>
      <c r="SCK554"/>
      <c r="SCL554"/>
      <c r="SCM554"/>
      <c r="SCN554"/>
      <c r="SCO554"/>
      <c r="SCP554"/>
      <c r="SCQ554"/>
      <c r="SCR554"/>
      <c r="SCS554"/>
      <c r="SCT554"/>
      <c r="SCU554"/>
      <c r="SCV554"/>
      <c r="SCW554"/>
      <c r="SCX554"/>
      <c r="SCY554"/>
      <c r="SCZ554"/>
      <c r="SDA554"/>
      <c r="SDB554"/>
      <c r="SDC554"/>
      <c r="SDD554"/>
      <c r="SDE554"/>
      <c r="SDF554"/>
      <c r="SDG554"/>
      <c r="SDH554"/>
      <c r="SDI554"/>
      <c r="SDJ554"/>
      <c r="SDK554"/>
      <c r="SDL554"/>
      <c r="SDM554"/>
      <c r="SDN554"/>
      <c r="SDO554"/>
      <c r="SDP554"/>
      <c r="SDQ554"/>
      <c r="SDR554"/>
      <c r="SDS554"/>
      <c r="SDT554"/>
      <c r="SDU554"/>
      <c r="SDV554"/>
      <c r="SDW554"/>
      <c r="SDX554"/>
      <c r="SDY554"/>
      <c r="SDZ554"/>
      <c r="SEA554"/>
      <c r="SEB554"/>
      <c r="SEC554"/>
      <c r="SED554"/>
      <c r="SEE554"/>
      <c r="SEF554"/>
      <c r="SEG554"/>
      <c r="SEH554"/>
      <c r="SEI554"/>
      <c r="SEJ554"/>
      <c r="SEK554"/>
      <c r="SEL554"/>
      <c r="SEM554"/>
      <c r="SEN554"/>
      <c r="SEO554"/>
      <c r="SEP554"/>
      <c r="SEQ554"/>
      <c r="SER554"/>
      <c r="SES554"/>
      <c r="SET554"/>
      <c r="SEU554"/>
      <c r="SEV554"/>
      <c r="SEW554"/>
      <c r="SEX554"/>
      <c r="SEY554"/>
      <c r="SEZ554"/>
      <c r="SFA554"/>
      <c r="SFB554"/>
      <c r="SFC554"/>
      <c r="SFD554"/>
      <c r="SFE554"/>
      <c r="SFF554"/>
      <c r="SFG554"/>
      <c r="SFH554"/>
      <c r="SFI554"/>
      <c r="SFJ554"/>
      <c r="SFK554"/>
      <c r="SFL554"/>
      <c r="SFM554"/>
      <c r="SFN554"/>
      <c r="SFO554"/>
      <c r="SFP554"/>
      <c r="SFQ554"/>
      <c r="SFR554"/>
      <c r="SFS554"/>
      <c r="SFT554"/>
      <c r="SFU554"/>
      <c r="SFV554"/>
      <c r="SFW554"/>
      <c r="SFX554"/>
      <c r="SFY554"/>
      <c r="SFZ554"/>
      <c r="SGA554"/>
      <c r="SGB554"/>
      <c r="SGC554"/>
      <c r="SGD554"/>
      <c r="SGE554"/>
      <c r="SGF554"/>
      <c r="SGG554"/>
      <c r="SGH554"/>
      <c r="SGI554"/>
      <c r="SGJ554"/>
      <c r="SGK554"/>
      <c r="SGL554"/>
      <c r="SGM554"/>
      <c r="SGN554"/>
      <c r="SGO554"/>
      <c r="SGP554"/>
      <c r="SGQ554"/>
      <c r="SGR554"/>
      <c r="SGS554"/>
      <c r="SGT554"/>
      <c r="SGU554"/>
      <c r="SGV554"/>
      <c r="SGW554"/>
      <c r="SGX554"/>
      <c r="SGY554"/>
      <c r="SGZ554"/>
      <c r="SHA554"/>
      <c r="SHB554"/>
      <c r="SHC554"/>
      <c r="SHD554"/>
      <c r="SHE554"/>
      <c r="SHF554"/>
      <c r="SHG554"/>
      <c r="SHH554"/>
      <c r="SHI554"/>
      <c r="SHJ554"/>
      <c r="SHK554"/>
      <c r="SHL554"/>
      <c r="SHM554"/>
      <c r="SHN554"/>
      <c r="SHO554"/>
      <c r="SHP554"/>
      <c r="SHQ554"/>
      <c r="SHR554"/>
      <c r="SHS554"/>
      <c r="SHT554"/>
      <c r="SHU554"/>
      <c r="SHV554"/>
      <c r="SHW554"/>
      <c r="SHX554"/>
      <c r="SHY554"/>
      <c r="SHZ554"/>
      <c r="SIA554"/>
      <c r="SIB554"/>
      <c r="SIC554"/>
      <c r="SID554"/>
      <c r="SIE554"/>
      <c r="SIF554"/>
      <c r="SIG554"/>
      <c r="SIH554"/>
      <c r="SII554"/>
      <c r="SIJ554"/>
      <c r="SIK554"/>
      <c r="SIL554"/>
      <c r="SIM554"/>
      <c r="SIN554"/>
      <c r="SIO554"/>
      <c r="SIP554"/>
      <c r="SIQ554"/>
      <c r="SIR554"/>
      <c r="SIS554"/>
      <c r="SIT554"/>
      <c r="SIU554"/>
      <c r="SIV554"/>
      <c r="SIW554"/>
      <c r="SIX554"/>
      <c r="SIY554"/>
      <c r="SIZ554"/>
      <c r="SJA554"/>
      <c r="SJB554"/>
      <c r="SJC554"/>
      <c r="SJD554"/>
      <c r="SJE554"/>
      <c r="SJF554"/>
      <c r="SJG554"/>
      <c r="SJH554"/>
      <c r="SJI554"/>
      <c r="SJJ554"/>
      <c r="SJK554"/>
      <c r="SJL554"/>
      <c r="SJM554"/>
      <c r="SJN554"/>
      <c r="SJO554"/>
      <c r="SJP554"/>
      <c r="SJQ554"/>
      <c r="SJR554"/>
      <c r="SJS554"/>
      <c r="SJT554"/>
      <c r="SJU554"/>
      <c r="SJV554"/>
      <c r="SJW554"/>
      <c r="SJX554"/>
      <c r="SJY554"/>
      <c r="SJZ554"/>
      <c r="SKA554"/>
      <c r="SKB554"/>
      <c r="SKC554"/>
      <c r="SKD554"/>
      <c r="SKE554"/>
      <c r="SKF554"/>
      <c r="SKG554"/>
      <c r="SKH554"/>
      <c r="SKI554"/>
      <c r="SKJ554"/>
      <c r="SKK554"/>
      <c r="SKL554"/>
      <c r="SKM554"/>
      <c r="SKN554"/>
      <c r="SKO554"/>
      <c r="SKP554"/>
      <c r="SKQ554"/>
      <c r="SKR554"/>
      <c r="SKS554"/>
      <c r="SKT554"/>
      <c r="SKU554"/>
      <c r="SKV554"/>
      <c r="SKW554"/>
      <c r="SKX554"/>
      <c r="SKY554"/>
      <c r="SKZ554"/>
      <c r="SLA554"/>
      <c r="SLB554"/>
      <c r="SLC554"/>
      <c r="SLD554"/>
      <c r="SLE554"/>
      <c r="SLF554"/>
      <c r="SLG554"/>
      <c r="SLH554"/>
      <c r="SLI554"/>
      <c r="SLJ554"/>
      <c r="SLK554"/>
      <c r="SLL554"/>
      <c r="SLM554"/>
      <c r="SLN554"/>
      <c r="SLO554"/>
      <c r="SLP554"/>
      <c r="SLQ554"/>
      <c r="SLR554"/>
      <c r="SLS554"/>
      <c r="SLT554"/>
      <c r="SLU554"/>
      <c r="SLV554"/>
      <c r="SLW554"/>
      <c r="SLX554"/>
      <c r="SLY554"/>
      <c r="SLZ554"/>
      <c r="SMA554"/>
      <c r="SMB554"/>
      <c r="SMC554"/>
      <c r="SMD554"/>
      <c r="SME554"/>
      <c r="SMF554"/>
      <c r="SMG554"/>
      <c r="SMH554"/>
      <c r="SMI554"/>
      <c r="SMJ554"/>
      <c r="SMK554"/>
      <c r="SML554"/>
      <c r="SMM554"/>
      <c r="SMN554"/>
      <c r="SMO554"/>
      <c r="SMP554"/>
      <c r="SMQ554"/>
      <c r="SMR554"/>
      <c r="SMS554"/>
      <c r="SMT554"/>
      <c r="SMU554"/>
      <c r="SMV554"/>
      <c r="SMW554"/>
      <c r="SMX554"/>
      <c r="SMY554"/>
      <c r="SMZ554"/>
      <c r="SNA554"/>
      <c r="SNB554"/>
      <c r="SNC554"/>
      <c r="SND554"/>
      <c r="SNE554"/>
      <c r="SNF554"/>
      <c r="SNG554"/>
      <c r="SNH554"/>
      <c r="SNI554"/>
      <c r="SNJ554"/>
      <c r="SNK554"/>
      <c r="SNL554"/>
      <c r="SNM554"/>
      <c r="SNN554"/>
      <c r="SNO554"/>
      <c r="SNP554"/>
      <c r="SNQ554"/>
      <c r="SNR554"/>
      <c r="SNS554"/>
      <c r="SNT554"/>
      <c r="SNU554"/>
      <c r="SNV554"/>
      <c r="SNW554"/>
      <c r="SNX554"/>
      <c r="SNY554"/>
      <c r="SNZ554"/>
      <c r="SOA554"/>
      <c r="SOB554"/>
      <c r="SOC554"/>
      <c r="SOD554"/>
      <c r="SOE554"/>
      <c r="SOF554"/>
      <c r="SOG554"/>
      <c r="SOH554"/>
      <c r="SOI554"/>
      <c r="SOJ554"/>
      <c r="SOK554"/>
      <c r="SOL554"/>
      <c r="SOM554"/>
      <c r="SON554"/>
      <c r="SOO554"/>
      <c r="SOP554"/>
      <c r="SOQ554"/>
      <c r="SOR554"/>
      <c r="SOS554"/>
      <c r="SOT554"/>
      <c r="SOU554"/>
      <c r="SOV554"/>
      <c r="SOW554"/>
      <c r="SOX554"/>
      <c r="SOY554"/>
      <c r="SOZ554"/>
      <c r="SPA554"/>
      <c r="SPB554"/>
      <c r="SPC554"/>
      <c r="SPD554"/>
      <c r="SPE554"/>
      <c r="SPF554"/>
      <c r="SPG554"/>
      <c r="SPH554"/>
      <c r="SPI554"/>
      <c r="SPJ554"/>
      <c r="SPK554"/>
      <c r="SPL554"/>
      <c r="SPM554"/>
      <c r="SPN554"/>
      <c r="SPO554"/>
      <c r="SPP554"/>
      <c r="SPQ554"/>
      <c r="SPR554"/>
      <c r="SPS554"/>
      <c r="SPT554"/>
      <c r="SPU554"/>
      <c r="SPV554"/>
      <c r="SPW554"/>
      <c r="SPX554"/>
      <c r="SPY554"/>
      <c r="SPZ554"/>
      <c r="SQA554"/>
      <c r="SQB554"/>
      <c r="SQC554"/>
      <c r="SQD554"/>
      <c r="SQE554"/>
      <c r="SQF554"/>
      <c r="SQG554"/>
      <c r="SQH554"/>
      <c r="SQI554"/>
      <c r="SQJ554"/>
      <c r="SQK554"/>
      <c r="SQL554"/>
      <c r="SQM554"/>
      <c r="SQN554"/>
      <c r="SQO554"/>
      <c r="SQP554"/>
      <c r="SQQ554"/>
      <c r="SQR554"/>
      <c r="SQS554"/>
      <c r="SQT554"/>
      <c r="SQU554"/>
      <c r="SQV554"/>
      <c r="SQW554"/>
      <c r="SQX554"/>
      <c r="SQY554"/>
      <c r="SQZ554"/>
      <c r="SRA554"/>
      <c r="SRB554"/>
      <c r="SRC554"/>
      <c r="SRD554"/>
      <c r="SRE554"/>
      <c r="SRF554"/>
      <c r="SRG554"/>
      <c r="SRH554"/>
      <c r="SRI554"/>
      <c r="SRJ554"/>
      <c r="SRK554"/>
      <c r="SRL554"/>
      <c r="SRM554"/>
      <c r="SRN554"/>
      <c r="SRO554"/>
      <c r="SRP554"/>
      <c r="SRQ554"/>
      <c r="SRR554"/>
      <c r="SRS554"/>
      <c r="SRT554"/>
      <c r="SRU554"/>
      <c r="SRV554"/>
      <c r="SRW554"/>
      <c r="SRX554"/>
      <c r="SRY554"/>
      <c r="SRZ554"/>
      <c r="SSA554"/>
      <c r="SSB554"/>
      <c r="SSC554"/>
      <c r="SSD554"/>
      <c r="SSE554"/>
      <c r="SSF554"/>
      <c r="SSG554"/>
      <c r="SSH554"/>
      <c r="SSI554"/>
      <c r="SSJ554"/>
      <c r="SSK554"/>
      <c r="SSL554"/>
      <c r="SSM554"/>
      <c r="SSN554"/>
      <c r="SSO554"/>
      <c r="SSP554"/>
      <c r="SSQ554"/>
      <c r="SSR554"/>
      <c r="SSS554"/>
      <c r="SST554"/>
      <c r="SSU554"/>
      <c r="SSV554"/>
      <c r="SSW554"/>
      <c r="SSX554"/>
      <c r="SSY554"/>
      <c r="SSZ554"/>
      <c r="STA554"/>
      <c r="STB554"/>
      <c r="STC554"/>
      <c r="STD554"/>
      <c r="STE554"/>
      <c r="STF554"/>
      <c r="STG554"/>
      <c r="STH554"/>
      <c r="STI554"/>
      <c r="STJ554"/>
      <c r="STK554"/>
      <c r="STL554"/>
      <c r="STM554"/>
      <c r="STN554"/>
      <c r="STO554"/>
      <c r="STP554"/>
      <c r="STQ554"/>
      <c r="STR554"/>
      <c r="STS554"/>
      <c r="STT554"/>
      <c r="STU554"/>
      <c r="STV554"/>
      <c r="STW554"/>
      <c r="STX554"/>
      <c r="STY554"/>
      <c r="STZ554"/>
      <c r="SUA554"/>
      <c r="SUB554"/>
      <c r="SUC554"/>
      <c r="SUD554"/>
      <c r="SUE554"/>
      <c r="SUF554"/>
      <c r="SUG554"/>
      <c r="SUH554"/>
      <c r="SUI554"/>
      <c r="SUJ554"/>
      <c r="SUK554"/>
      <c r="SUL554"/>
      <c r="SUM554"/>
      <c r="SUN554"/>
      <c r="SUO554"/>
      <c r="SUP554"/>
      <c r="SUQ554"/>
      <c r="SUR554"/>
      <c r="SUS554"/>
      <c r="SUT554"/>
      <c r="SUU554"/>
      <c r="SUV554"/>
      <c r="SUW554"/>
      <c r="SUX554"/>
      <c r="SUY554"/>
      <c r="SUZ554"/>
      <c r="SVA554"/>
      <c r="SVB554"/>
      <c r="SVC554"/>
      <c r="SVD554"/>
      <c r="SVE554"/>
      <c r="SVF554"/>
      <c r="SVG554"/>
      <c r="SVH554"/>
      <c r="SVI554"/>
      <c r="SVJ554"/>
      <c r="SVK554"/>
      <c r="SVL554"/>
      <c r="SVM554"/>
      <c r="SVN554"/>
      <c r="SVO554"/>
      <c r="SVP554"/>
      <c r="SVQ554"/>
      <c r="SVR554"/>
      <c r="SVS554"/>
      <c r="SVT554"/>
      <c r="SVU554"/>
      <c r="SVV554"/>
      <c r="SVW554"/>
      <c r="SVX554"/>
      <c r="SVY554"/>
      <c r="SVZ554"/>
      <c r="SWA554"/>
      <c r="SWB554"/>
      <c r="SWC554"/>
      <c r="SWD554"/>
      <c r="SWE554"/>
      <c r="SWF554"/>
      <c r="SWG554"/>
      <c r="SWH554"/>
      <c r="SWI554"/>
      <c r="SWJ554"/>
      <c r="SWK554"/>
      <c r="SWL554"/>
      <c r="SWM554"/>
      <c r="SWN554"/>
      <c r="SWO554"/>
      <c r="SWP554"/>
      <c r="SWQ554"/>
      <c r="SWR554"/>
      <c r="SWS554"/>
      <c r="SWT554"/>
      <c r="SWU554"/>
      <c r="SWV554"/>
      <c r="SWW554"/>
      <c r="SWX554"/>
      <c r="SWY554"/>
      <c r="SWZ554"/>
      <c r="SXA554"/>
      <c r="SXB554"/>
      <c r="SXC554"/>
      <c r="SXD554"/>
      <c r="SXE554"/>
      <c r="SXF554"/>
      <c r="SXG554"/>
      <c r="SXH554"/>
      <c r="SXI554"/>
      <c r="SXJ554"/>
      <c r="SXK554"/>
      <c r="SXL554"/>
      <c r="SXM554"/>
      <c r="SXN554"/>
      <c r="SXO554"/>
      <c r="SXP554"/>
      <c r="SXQ554"/>
      <c r="SXR554"/>
      <c r="SXS554"/>
      <c r="SXT554"/>
      <c r="SXU554"/>
      <c r="SXV554"/>
      <c r="SXW554"/>
      <c r="SXX554"/>
      <c r="SXY554"/>
      <c r="SXZ554"/>
      <c r="SYA554"/>
      <c r="SYB554"/>
      <c r="SYC554"/>
      <c r="SYD554"/>
      <c r="SYE554"/>
      <c r="SYF554"/>
      <c r="SYG554"/>
      <c r="SYH554"/>
      <c r="SYI554"/>
      <c r="SYJ554"/>
      <c r="SYK554"/>
      <c r="SYL554"/>
      <c r="SYM554"/>
      <c r="SYN554"/>
      <c r="SYO554"/>
      <c r="SYP554"/>
      <c r="SYQ554"/>
      <c r="SYR554"/>
      <c r="SYS554"/>
      <c r="SYT554"/>
      <c r="SYU554"/>
      <c r="SYV554"/>
      <c r="SYW554"/>
      <c r="SYX554"/>
      <c r="SYY554"/>
      <c r="SYZ554"/>
      <c r="SZA554"/>
      <c r="SZB554"/>
      <c r="SZC554"/>
      <c r="SZD554"/>
      <c r="SZE554"/>
      <c r="SZF554"/>
      <c r="SZG554"/>
      <c r="SZH554"/>
      <c r="SZI554"/>
      <c r="SZJ554"/>
      <c r="SZK554"/>
      <c r="SZL554"/>
      <c r="SZM554"/>
      <c r="SZN554"/>
      <c r="SZO554"/>
      <c r="SZP554"/>
      <c r="SZQ554"/>
      <c r="SZR554"/>
      <c r="SZS554"/>
      <c r="SZT554"/>
      <c r="SZU554"/>
      <c r="SZV554"/>
      <c r="SZW554"/>
      <c r="SZX554"/>
      <c r="SZY554"/>
      <c r="SZZ554"/>
      <c r="TAA554"/>
      <c r="TAB554"/>
      <c r="TAC554"/>
      <c r="TAD554"/>
      <c r="TAE554"/>
      <c r="TAF554"/>
      <c r="TAG554"/>
      <c r="TAH554"/>
      <c r="TAI554"/>
      <c r="TAJ554"/>
      <c r="TAK554"/>
      <c r="TAL554"/>
      <c r="TAM554"/>
      <c r="TAN554"/>
      <c r="TAO554"/>
      <c r="TAP554"/>
      <c r="TAQ554"/>
      <c r="TAR554"/>
      <c r="TAS554"/>
      <c r="TAT554"/>
      <c r="TAU554"/>
      <c r="TAV554"/>
      <c r="TAW554"/>
      <c r="TAX554"/>
      <c r="TAY554"/>
      <c r="TAZ554"/>
      <c r="TBA554"/>
      <c r="TBB554"/>
      <c r="TBC554"/>
      <c r="TBD554"/>
      <c r="TBE554"/>
      <c r="TBF554"/>
      <c r="TBG554"/>
      <c r="TBH554"/>
      <c r="TBI554"/>
      <c r="TBJ554"/>
      <c r="TBK554"/>
      <c r="TBL554"/>
      <c r="TBM554"/>
      <c r="TBN554"/>
      <c r="TBO554"/>
      <c r="TBP554"/>
      <c r="TBQ554"/>
      <c r="TBR554"/>
      <c r="TBS554"/>
      <c r="TBT554"/>
      <c r="TBU554"/>
      <c r="TBV554"/>
      <c r="TBW554"/>
      <c r="TBX554"/>
      <c r="TBY554"/>
      <c r="TBZ554"/>
      <c r="TCA554"/>
      <c r="TCB554"/>
      <c r="TCC554"/>
      <c r="TCD554"/>
      <c r="TCE554"/>
      <c r="TCF554"/>
      <c r="TCG554"/>
      <c r="TCH554"/>
      <c r="TCI554"/>
      <c r="TCJ554"/>
      <c r="TCK554"/>
      <c r="TCL554"/>
      <c r="TCM554"/>
      <c r="TCN554"/>
      <c r="TCO554"/>
      <c r="TCP554"/>
      <c r="TCQ554"/>
      <c r="TCR554"/>
      <c r="TCS554"/>
      <c r="TCT554"/>
      <c r="TCU554"/>
      <c r="TCV554"/>
      <c r="TCW554"/>
      <c r="TCX554"/>
      <c r="TCY554"/>
      <c r="TCZ554"/>
      <c r="TDA554"/>
      <c r="TDB554"/>
      <c r="TDC554"/>
      <c r="TDD554"/>
      <c r="TDE554"/>
      <c r="TDF554"/>
      <c r="TDG554"/>
      <c r="TDH554"/>
      <c r="TDI554"/>
      <c r="TDJ554"/>
      <c r="TDK554"/>
      <c r="TDL554"/>
      <c r="TDM554"/>
      <c r="TDN554"/>
      <c r="TDO554"/>
      <c r="TDP554"/>
      <c r="TDQ554"/>
      <c r="TDR554"/>
      <c r="TDS554"/>
      <c r="TDT554"/>
      <c r="TDU554"/>
      <c r="TDV554"/>
      <c r="TDW554"/>
      <c r="TDX554"/>
      <c r="TDY554"/>
      <c r="TDZ554"/>
      <c r="TEA554"/>
      <c r="TEB554"/>
      <c r="TEC554"/>
      <c r="TED554"/>
      <c r="TEE554"/>
      <c r="TEF554"/>
      <c r="TEG554"/>
      <c r="TEH554"/>
      <c r="TEI554"/>
      <c r="TEJ554"/>
      <c r="TEK554"/>
      <c r="TEL554"/>
      <c r="TEM554"/>
      <c r="TEN554"/>
      <c r="TEO554"/>
      <c r="TEP554"/>
      <c r="TEQ554"/>
      <c r="TER554"/>
      <c r="TES554"/>
      <c r="TET554"/>
      <c r="TEU554"/>
      <c r="TEV554"/>
      <c r="TEW554"/>
      <c r="TEX554"/>
      <c r="TEY554"/>
      <c r="TEZ554"/>
      <c r="TFA554"/>
      <c r="TFB554"/>
      <c r="TFC554"/>
      <c r="TFD554"/>
      <c r="TFE554"/>
      <c r="TFF554"/>
      <c r="TFG554"/>
      <c r="TFH554"/>
      <c r="TFI554"/>
      <c r="TFJ554"/>
      <c r="TFK554"/>
      <c r="TFL554"/>
      <c r="TFM554"/>
      <c r="TFN554"/>
      <c r="TFO554"/>
      <c r="TFP554"/>
      <c r="TFQ554"/>
      <c r="TFR554"/>
      <c r="TFS554"/>
      <c r="TFT554"/>
      <c r="TFU554"/>
      <c r="TFV554"/>
      <c r="TFW554"/>
      <c r="TFX554"/>
      <c r="TFY554"/>
      <c r="TFZ554"/>
      <c r="TGA554"/>
      <c r="TGB554"/>
      <c r="TGC554"/>
      <c r="TGD554"/>
      <c r="TGE554"/>
      <c r="TGF554"/>
      <c r="TGG554"/>
      <c r="TGH554"/>
      <c r="TGI554"/>
      <c r="TGJ554"/>
      <c r="TGK554"/>
      <c r="TGL554"/>
      <c r="TGM554"/>
      <c r="TGN554"/>
      <c r="TGO554"/>
      <c r="TGP554"/>
      <c r="TGQ554"/>
      <c r="TGR554"/>
      <c r="TGS554"/>
      <c r="TGT554"/>
      <c r="TGU554"/>
      <c r="TGV554"/>
      <c r="TGW554"/>
      <c r="TGX554"/>
      <c r="TGY554"/>
      <c r="TGZ554"/>
      <c r="THA554"/>
      <c r="THB554"/>
      <c r="THC554"/>
      <c r="THD554"/>
      <c r="THE554"/>
      <c r="THF554"/>
      <c r="THG554"/>
      <c r="THH554"/>
      <c r="THI554"/>
      <c r="THJ554"/>
      <c r="THK554"/>
      <c r="THL554"/>
      <c r="THM554"/>
      <c r="THN554"/>
      <c r="THO554"/>
      <c r="THP554"/>
      <c r="THQ554"/>
      <c r="THR554"/>
      <c r="THS554"/>
      <c r="THT554"/>
      <c r="THU554"/>
      <c r="THV554"/>
      <c r="THW554"/>
      <c r="THX554"/>
      <c r="THY554"/>
      <c r="THZ554"/>
      <c r="TIA554"/>
      <c r="TIB554"/>
      <c r="TIC554"/>
      <c r="TID554"/>
      <c r="TIE554"/>
      <c r="TIF554"/>
      <c r="TIG554"/>
      <c r="TIH554"/>
      <c r="TII554"/>
      <c r="TIJ554"/>
      <c r="TIK554"/>
      <c r="TIL554"/>
      <c r="TIM554"/>
      <c r="TIN554"/>
      <c r="TIO554"/>
      <c r="TIP554"/>
      <c r="TIQ554"/>
      <c r="TIR554"/>
      <c r="TIS554"/>
      <c r="TIT554"/>
      <c r="TIU554"/>
      <c r="TIV554"/>
      <c r="TIW554"/>
      <c r="TIX554"/>
      <c r="TIY554"/>
      <c r="TIZ554"/>
      <c r="TJA554"/>
      <c r="TJB554"/>
      <c r="TJC554"/>
      <c r="TJD554"/>
      <c r="TJE554"/>
      <c r="TJF554"/>
      <c r="TJG554"/>
      <c r="TJH554"/>
      <c r="TJI554"/>
      <c r="TJJ554"/>
      <c r="TJK554"/>
      <c r="TJL554"/>
      <c r="TJM554"/>
      <c r="TJN554"/>
      <c r="TJO554"/>
      <c r="TJP554"/>
      <c r="TJQ554"/>
      <c r="TJR554"/>
      <c r="TJS554"/>
      <c r="TJT554"/>
      <c r="TJU554"/>
      <c r="TJV554"/>
      <c r="TJW554"/>
      <c r="TJX554"/>
      <c r="TJY554"/>
      <c r="TJZ554"/>
      <c r="TKA554"/>
      <c r="TKB554"/>
      <c r="TKC554"/>
      <c r="TKD554"/>
      <c r="TKE554"/>
      <c r="TKF554"/>
      <c r="TKG554"/>
      <c r="TKH554"/>
      <c r="TKI554"/>
      <c r="TKJ554"/>
      <c r="TKK554"/>
      <c r="TKL554"/>
      <c r="TKM554"/>
      <c r="TKN554"/>
      <c r="TKO554"/>
      <c r="TKP554"/>
      <c r="TKQ554"/>
      <c r="TKR554"/>
      <c r="TKS554"/>
      <c r="TKT554"/>
      <c r="TKU554"/>
      <c r="TKV554"/>
      <c r="TKW554"/>
      <c r="TKX554"/>
      <c r="TKY554"/>
      <c r="TKZ554"/>
      <c r="TLA554"/>
      <c r="TLB554"/>
      <c r="TLC554"/>
      <c r="TLD554"/>
      <c r="TLE554"/>
      <c r="TLF554"/>
      <c r="TLG554"/>
      <c r="TLH554"/>
      <c r="TLI554"/>
      <c r="TLJ554"/>
      <c r="TLK554"/>
      <c r="TLL554"/>
      <c r="TLM554"/>
      <c r="TLN554"/>
      <c r="TLO554"/>
      <c r="TLP554"/>
      <c r="TLQ554"/>
      <c r="TLR554"/>
      <c r="TLS554"/>
      <c r="TLT554"/>
      <c r="TLU554"/>
      <c r="TLV554"/>
      <c r="TLW554"/>
      <c r="TLX554"/>
      <c r="TLY554"/>
      <c r="TLZ554"/>
      <c r="TMA554"/>
      <c r="TMB554"/>
      <c r="TMC554"/>
      <c r="TMD554"/>
      <c r="TME554"/>
      <c r="TMF554"/>
      <c r="TMG554"/>
      <c r="TMH554"/>
      <c r="TMI554"/>
      <c r="TMJ554"/>
      <c r="TMK554"/>
      <c r="TML554"/>
      <c r="TMM554"/>
      <c r="TMN554"/>
      <c r="TMO554"/>
      <c r="TMP554"/>
      <c r="TMQ554"/>
      <c r="TMR554"/>
      <c r="TMS554"/>
      <c r="TMT554"/>
      <c r="TMU554"/>
      <c r="TMV554"/>
      <c r="TMW554"/>
      <c r="TMX554"/>
      <c r="TMY554"/>
      <c r="TMZ554"/>
      <c r="TNA554"/>
      <c r="TNB554"/>
      <c r="TNC554"/>
      <c r="TND554"/>
      <c r="TNE554"/>
      <c r="TNF554"/>
      <c r="TNG554"/>
      <c r="TNH554"/>
      <c r="TNI554"/>
      <c r="TNJ554"/>
      <c r="TNK554"/>
      <c r="TNL554"/>
      <c r="TNM554"/>
      <c r="TNN554"/>
      <c r="TNO554"/>
      <c r="TNP554"/>
      <c r="TNQ554"/>
      <c r="TNR554"/>
      <c r="TNS554"/>
      <c r="TNT554"/>
      <c r="TNU554"/>
      <c r="TNV554"/>
      <c r="TNW554"/>
      <c r="TNX554"/>
      <c r="TNY554"/>
      <c r="TNZ554"/>
      <c r="TOA554"/>
      <c r="TOB554"/>
      <c r="TOC554"/>
      <c r="TOD554"/>
      <c r="TOE554"/>
      <c r="TOF554"/>
      <c r="TOG554"/>
      <c r="TOH554"/>
      <c r="TOI554"/>
      <c r="TOJ554"/>
      <c r="TOK554"/>
      <c r="TOL554"/>
      <c r="TOM554"/>
      <c r="TON554"/>
      <c r="TOO554"/>
      <c r="TOP554"/>
      <c r="TOQ554"/>
      <c r="TOR554"/>
      <c r="TOS554"/>
      <c r="TOT554"/>
      <c r="TOU554"/>
      <c r="TOV554"/>
      <c r="TOW554"/>
      <c r="TOX554"/>
      <c r="TOY554"/>
      <c r="TOZ554"/>
      <c r="TPA554"/>
      <c r="TPB554"/>
      <c r="TPC554"/>
      <c r="TPD554"/>
      <c r="TPE554"/>
      <c r="TPF554"/>
      <c r="TPG554"/>
      <c r="TPH554"/>
      <c r="TPI554"/>
      <c r="TPJ554"/>
      <c r="TPK554"/>
      <c r="TPL554"/>
      <c r="TPM554"/>
      <c r="TPN554"/>
      <c r="TPO554"/>
      <c r="TPP554"/>
      <c r="TPQ554"/>
      <c r="TPR554"/>
      <c r="TPS554"/>
      <c r="TPT554"/>
      <c r="TPU554"/>
      <c r="TPV554"/>
      <c r="TPW554"/>
      <c r="TPX554"/>
      <c r="TPY554"/>
      <c r="TPZ554"/>
      <c r="TQA554"/>
      <c r="TQB554"/>
      <c r="TQC554"/>
      <c r="TQD554"/>
      <c r="TQE554"/>
      <c r="TQF554"/>
      <c r="TQG554"/>
      <c r="TQH554"/>
      <c r="TQI554"/>
      <c r="TQJ554"/>
      <c r="TQK554"/>
      <c r="TQL554"/>
      <c r="TQM554"/>
      <c r="TQN554"/>
      <c r="TQO554"/>
      <c r="TQP554"/>
      <c r="TQQ554"/>
      <c r="TQR554"/>
      <c r="TQS554"/>
      <c r="TQT554"/>
      <c r="TQU554"/>
      <c r="TQV554"/>
      <c r="TQW554"/>
      <c r="TQX554"/>
      <c r="TQY554"/>
      <c r="TQZ554"/>
      <c r="TRA554"/>
      <c r="TRB554"/>
      <c r="TRC554"/>
      <c r="TRD554"/>
      <c r="TRE554"/>
      <c r="TRF554"/>
      <c r="TRG554"/>
      <c r="TRH554"/>
      <c r="TRI554"/>
      <c r="TRJ554"/>
      <c r="TRK554"/>
      <c r="TRL554"/>
      <c r="TRM554"/>
      <c r="TRN554"/>
      <c r="TRO554"/>
      <c r="TRP554"/>
      <c r="TRQ554"/>
      <c r="TRR554"/>
      <c r="TRS554"/>
      <c r="TRT554"/>
      <c r="TRU554"/>
      <c r="TRV554"/>
      <c r="TRW554"/>
      <c r="TRX554"/>
      <c r="TRY554"/>
      <c r="TRZ554"/>
      <c r="TSA554"/>
      <c r="TSB554"/>
      <c r="TSC554"/>
      <c r="TSD554"/>
      <c r="TSE554"/>
      <c r="TSF554"/>
      <c r="TSG554"/>
      <c r="TSH554"/>
      <c r="TSI554"/>
      <c r="TSJ554"/>
      <c r="TSK554"/>
      <c r="TSL554"/>
      <c r="TSM554"/>
      <c r="TSN554"/>
      <c r="TSO554"/>
      <c r="TSP554"/>
      <c r="TSQ554"/>
      <c r="TSR554"/>
      <c r="TSS554"/>
      <c r="TST554"/>
      <c r="TSU554"/>
      <c r="TSV554"/>
      <c r="TSW554"/>
      <c r="TSX554"/>
      <c r="TSY554"/>
      <c r="TSZ554"/>
      <c r="TTA554"/>
      <c r="TTB554"/>
      <c r="TTC554"/>
      <c r="TTD554"/>
      <c r="TTE554"/>
      <c r="TTF554"/>
      <c r="TTG554"/>
      <c r="TTH554"/>
      <c r="TTI554"/>
      <c r="TTJ554"/>
      <c r="TTK554"/>
      <c r="TTL554"/>
      <c r="TTM554"/>
      <c r="TTN554"/>
      <c r="TTO554"/>
      <c r="TTP554"/>
      <c r="TTQ554"/>
      <c r="TTR554"/>
      <c r="TTS554"/>
      <c r="TTT554"/>
      <c r="TTU554"/>
      <c r="TTV554"/>
      <c r="TTW554"/>
      <c r="TTX554"/>
      <c r="TTY554"/>
      <c r="TTZ554"/>
      <c r="TUA554"/>
      <c r="TUB554"/>
      <c r="TUC554"/>
      <c r="TUD554"/>
      <c r="TUE554"/>
      <c r="TUF554"/>
      <c r="TUG554"/>
      <c r="TUH554"/>
      <c r="TUI554"/>
      <c r="TUJ554"/>
      <c r="TUK554"/>
      <c r="TUL554"/>
      <c r="TUM554"/>
      <c r="TUN554"/>
      <c r="TUO554"/>
      <c r="TUP554"/>
      <c r="TUQ554"/>
      <c r="TUR554"/>
      <c r="TUS554"/>
      <c r="TUT554"/>
      <c r="TUU554"/>
      <c r="TUV554"/>
      <c r="TUW554"/>
      <c r="TUX554"/>
      <c r="TUY554"/>
      <c r="TUZ554"/>
      <c r="TVA554"/>
      <c r="TVB554"/>
      <c r="TVC554"/>
      <c r="TVD554"/>
      <c r="TVE554"/>
      <c r="TVF554"/>
      <c r="TVG554"/>
      <c r="TVH554"/>
      <c r="TVI554"/>
      <c r="TVJ554"/>
      <c r="TVK554"/>
      <c r="TVL554"/>
      <c r="TVM554"/>
      <c r="TVN554"/>
      <c r="TVO554"/>
      <c r="TVP554"/>
      <c r="TVQ554"/>
      <c r="TVR554"/>
      <c r="TVS554"/>
      <c r="TVT554"/>
      <c r="TVU554"/>
      <c r="TVV554"/>
      <c r="TVW554"/>
      <c r="TVX554"/>
      <c r="TVY554"/>
      <c r="TVZ554"/>
      <c r="TWA554"/>
      <c r="TWB554"/>
      <c r="TWC554"/>
      <c r="TWD554"/>
      <c r="TWE554"/>
      <c r="TWF554"/>
      <c r="TWG554"/>
      <c r="TWH554"/>
      <c r="TWI554"/>
      <c r="TWJ554"/>
      <c r="TWK554"/>
      <c r="TWL554"/>
      <c r="TWM554"/>
      <c r="TWN554"/>
      <c r="TWO554"/>
      <c r="TWP554"/>
      <c r="TWQ554"/>
      <c r="TWR554"/>
      <c r="TWS554"/>
      <c r="TWT554"/>
      <c r="TWU554"/>
      <c r="TWV554"/>
      <c r="TWW554"/>
      <c r="TWX554"/>
      <c r="TWY554"/>
      <c r="TWZ554"/>
      <c r="TXA554"/>
      <c r="TXB554"/>
      <c r="TXC554"/>
      <c r="TXD554"/>
      <c r="TXE554"/>
      <c r="TXF554"/>
      <c r="TXG554"/>
      <c r="TXH554"/>
      <c r="TXI554"/>
      <c r="TXJ554"/>
      <c r="TXK554"/>
      <c r="TXL554"/>
      <c r="TXM554"/>
      <c r="TXN554"/>
      <c r="TXO554"/>
      <c r="TXP554"/>
      <c r="TXQ554"/>
      <c r="TXR554"/>
      <c r="TXS554"/>
      <c r="TXT554"/>
      <c r="TXU554"/>
      <c r="TXV554"/>
      <c r="TXW554"/>
      <c r="TXX554"/>
      <c r="TXY554"/>
      <c r="TXZ554"/>
      <c r="TYA554"/>
      <c r="TYB554"/>
      <c r="TYC554"/>
      <c r="TYD554"/>
      <c r="TYE554"/>
      <c r="TYF554"/>
      <c r="TYG554"/>
      <c r="TYH554"/>
      <c r="TYI554"/>
      <c r="TYJ554"/>
      <c r="TYK554"/>
      <c r="TYL554"/>
      <c r="TYM554"/>
      <c r="TYN554"/>
      <c r="TYO554"/>
      <c r="TYP554"/>
      <c r="TYQ554"/>
      <c r="TYR554"/>
      <c r="TYS554"/>
      <c r="TYT554"/>
      <c r="TYU554"/>
      <c r="TYV554"/>
      <c r="TYW554"/>
      <c r="TYX554"/>
      <c r="TYY554"/>
      <c r="TYZ554"/>
      <c r="TZA554"/>
      <c r="TZB554"/>
      <c r="TZC554"/>
      <c r="TZD554"/>
      <c r="TZE554"/>
      <c r="TZF554"/>
      <c r="TZG554"/>
      <c r="TZH554"/>
      <c r="TZI554"/>
      <c r="TZJ554"/>
      <c r="TZK554"/>
      <c r="TZL554"/>
      <c r="TZM554"/>
      <c r="TZN554"/>
      <c r="TZO554"/>
      <c r="TZP554"/>
      <c r="TZQ554"/>
      <c r="TZR554"/>
      <c r="TZS554"/>
      <c r="TZT554"/>
      <c r="TZU554"/>
      <c r="TZV554"/>
      <c r="TZW554"/>
      <c r="TZX554"/>
      <c r="TZY554"/>
      <c r="TZZ554"/>
      <c r="UAA554"/>
      <c r="UAB554"/>
      <c r="UAC554"/>
      <c r="UAD554"/>
      <c r="UAE554"/>
      <c r="UAF554"/>
      <c r="UAG554"/>
      <c r="UAH554"/>
      <c r="UAI554"/>
      <c r="UAJ554"/>
      <c r="UAK554"/>
      <c r="UAL554"/>
      <c r="UAM554"/>
      <c r="UAN554"/>
      <c r="UAO554"/>
      <c r="UAP554"/>
      <c r="UAQ554"/>
      <c r="UAR554"/>
      <c r="UAS554"/>
      <c r="UAT554"/>
      <c r="UAU554"/>
      <c r="UAV554"/>
      <c r="UAW554"/>
      <c r="UAX554"/>
      <c r="UAY554"/>
      <c r="UAZ554"/>
      <c r="UBA554"/>
      <c r="UBB554"/>
      <c r="UBC554"/>
      <c r="UBD554"/>
      <c r="UBE554"/>
      <c r="UBF554"/>
      <c r="UBG554"/>
      <c r="UBH554"/>
      <c r="UBI554"/>
      <c r="UBJ554"/>
      <c r="UBK554"/>
      <c r="UBL554"/>
      <c r="UBM554"/>
      <c r="UBN554"/>
      <c r="UBO554"/>
      <c r="UBP554"/>
      <c r="UBQ554"/>
      <c r="UBR554"/>
      <c r="UBS554"/>
      <c r="UBT554"/>
      <c r="UBU554"/>
      <c r="UBV554"/>
      <c r="UBW554"/>
      <c r="UBX554"/>
      <c r="UBY554"/>
      <c r="UBZ554"/>
      <c r="UCA554"/>
      <c r="UCB554"/>
      <c r="UCC554"/>
      <c r="UCD554"/>
      <c r="UCE554"/>
      <c r="UCF554"/>
      <c r="UCG554"/>
      <c r="UCH554"/>
      <c r="UCI554"/>
      <c r="UCJ554"/>
      <c r="UCK554"/>
      <c r="UCL554"/>
      <c r="UCM554"/>
      <c r="UCN554"/>
      <c r="UCO554"/>
      <c r="UCP554"/>
      <c r="UCQ554"/>
      <c r="UCR554"/>
      <c r="UCS554"/>
      <c r="UCT554"/>
      <c r="UCU554"/>
      <c r="UCV554"/>
      <c r="UCW554"/>
      <c r="UCX554"/>
      <c r="UCY554"/>
      <c r="UCZ554"/>
      <c r="UDA554"/>
      <c r="UDB554"/>
      <c r="UDC554"/>
      <c r="UDD554"/>
      <c r="UDE554"/>
      <c r="UDF554"/>
      <c r="UDG554"/>
      <c r="UDH554"/>
      <c r="UDI554"/>
      <c r="UDJ554"/>
      <c r="UDK554"/>
      <c r="UDL554"/>
      <c r="UDM554"/>
      <c r="UDN554"/>
      <c r="UDO554"/>
      <c r="UDP554"/>
      <c r="UDQ554"/>
      <c r="UDR554"/>
      <c r="UDS554"/>
      <c r="UDT554"/>
      <c r="UDU554"/>
      <c r="UDV554"/>
      <c r="UDW554"/>
      <c r="UDX554"/>
      <c r="UDY554"/>
      <c r="UDZ554"/>
      <c r="UEA554"/>
      <c r="UEB554"/>
      <c r="UEC554"/>
      <c r="UED554"/>
      <c r="UEE554"/>
      <c r="UEF554"/>
      <c r="UEG554"/>
      <c r="UEH554"/>
      <c r="UEI554"/>
      <c r="UEJ554"/>
      <c r="UEK554"/>
      <c r="UEL554"/>
      <c r="UEM554"/>
      <c r="UEN554"/>
      <c r="UEO554"/>
      <c r="UEP554"/>
      <c r="UEQ554"/>
      <c r="UER554"/>
      <c r="UES554"/>
      <c r="UET554"/>
      <c r="UEU554"/>
      <c r="UEV554"/>
      <c r="UEW554"/>
      <c r="UEX554"/>
      <c r="UEY554"/>
      <c r="UEZ554"/>
      <c r="UFA554"/>
      <c r="UFB554"/>
      <c r="UFC554"/>
      <c r="UFD554"/>
      <c r="UFE554"/>
      <c r="UFF554"/>
      <c r="UFG554"/>
      <c r="UFH554"/>
      <c r="UFI554"/>
      <c r="UFJ554"/>
      <c r="UFK554"/>
      <c r="UFL554"/>
      <c r="UFM554"/>
      <c r="UFN554"/>
      <c r="UFO554"/>
      <c r="UFP554"/>
      <c r="UFQ554"/>
      <c r="UFR554"/>
      <c r="UFS554"/>
      <c r="UFT554"/>
      <c r="UFU554"/>
      <c r="UFV554"/>
      <c r="UFW554"/>
      <c r="UFX554"/>
      <c r="UFY554"/>
      <c r="UFZ554"/>
      <c r="UGA554"/>
      <c r="UGB554"/>
      <c r="UGC554"/>
      <c r="UGD554"/>
      <c r="UGE554"/>
      <c r="UGF554"/>
      <c r="UGG554"/>
      <c r="UGH554"/>
      <c r="UGI554"/>
      <c r="UGJ554"/>
      <c r="UGK554"/>
      <c r="UGL554"/>
      <c r="UGM554"/>
      <c r="UGN554"/>
      <c r="UGO554"/>
      <c r="UGP554"/>
      <c r="UGQ554"/>
      <c r="UGR554"/>
      <c r="UGS554"/>
      <c r="UGT554"/>
      <c r="UGU554"/>
      <c r="UGV554"/>
      <c r="UGW554"/>
      <c r="UGX554"/>
      <c r="UGY554"/>
      <c r="UGZ554"/>
      <c r="UHA554"/>
      <c r="UHB554"/>
      <c r="UHC554"/>
      <c r="UHD554"/>
      <c r="UHE554"/>
      <c r="UHF554"/>
      <c r="UHG554"/>
      <c r="UHH554"/>
      <c r="UHI554"/>
      <c r="UHJ554"/>
      <c r="UHK554"/>
      <c r="UHL554"/>
      <c r="UHM554"/>
      <c r="UHN554"/>
      <c r="UHO554"/>
      <c r="UHP554"/>
      <c r="UHQ554"/>
      <c r="UHR554"/>
      <c r="UHS554"/>
      <c r="UHT554"/>
      <c r="UHU554"/>
      <c r="UHV554"/>
      <c r="UHW554"/>
      <c r="UHX554"/>
      <c r="UHY554"/>
      <c r="UHZ554"/>
      <c r="UIA554"/>
      <c r="UIB554"/>
      <c r="UIC554"/>
      <c r="UID554"/>
      <c r="UIE554"/>
      <c r="UIF554"/>
      <c r="UIG554"/>
      <c r="UIH554"/>
      <c r="UII554"/>
      <c r="UIJ554"/>
      <c r="UIK554"/>
      <c r="UIL554"/>
      <c r="UIM554"/>
      <c r="UIN554"/>
      <c r="UIO554"/>
      <c r="UIP554"/>
      <c r="UIQ554"/>
      <c r="UIR554"/>
      <c r="UIS554"/>
      <c r="UIT554"/>
      <c r="UIU554"/>
      <c r="UIV554"/>
      <c r="UIW554"/>
      <c r="UIX554"/>
      <c r="UIY554"/>
      <c r="UIZ554"/>
      <c r="UJA554"/>
      <c r="UJB554"/>
      <c r="UJC554"/>
      <c r="UJD554"/>
      <c r="UJE554"/>
      <c r="UJF554"/>
      <c r="UJG554"/>
      <c r="UJH554"/>
      <c r="UJI554"/>
      <c r="UJJ554"/>
      <c r="UJK554"/>
      <c r="UJL554"/>
      <c r="UJM554"/>
      <c r="UJN554"/>
      <c r="UJO554"/>
      <c r="UJP554"/>
      <c r="UJQ554"/>
      <c r="UJR554"/>
      <c r="UJS554"/>
      <c r="UJT554"/>
      <c r="UJU554"/>
      <c r="UJV554"/>
      <c r="UJW554"/>
      <c r="UJX554"/>
      <c r="UJY554"/>
      <c r="UJZ554"/>
      <c r="UKA554"/>
      <c r="UKB554"/>
      <c r="UKC554"/>
      <c r="UKD554"/>
      <c r="UKE554"/>
      <c r="UKF554"/>
      <c r="UKG554"/>
      <c r="UKH554"/>
      <c r="UKI554"/>
      <c r="UKJ554"/>
      <c r="UKK554"/>
      <c r="UKL554"/>
      <c r="UKM554"/>
      <c r="UKN554"/>
      <c r="UKO554"/>
      <c r="UKP554"/>
      <c r="UKQ554"/>
      <c r="UKR554"/>
      <c r="UKS554"/>
      <c r="UKT554"/>
      <c r="UKU554"/>
      <c r="UKV554"/>
      <c r="UKW554"/>
      <c r="UKX554"/>
      <c r="UKY554"/>
      <c r="UKZ554"/>
      <c r="ULA554"/>
      <c r="ULB554"/>
      <c r="ULC554"/>
      <c r="ULD554"/>
      <c r="ULE554"/>
      <c r="ULF554"/>
      <c r="ULG554"/>
      <c r="ULH554"/>
      <c r="ULI554"/>
      <c r="ULJ554"/>
      <c r="ULK554"/>
      <c r="ULL554"/>
      <c r="ULM554"/>
      <c r="ULN554"/>
      <c r="ULO554"/>
      <c r="ULP554"/>
      <c r="ULQ554"/>
      <c r="ULR554"/>
      <c r="ULS554"/>
      <c r="ULT554"/>
      <c r="ULU554"/>
      <c r="ULV554"/>
      <c r="ULW554"/>
      <c r="ULX554"/>
      <c r="ULY554"/>
      <c r="ULZ554"/>
      <c r="UMA554"/>
      <c r="UMB554"/>
      <c r="UMC554"/>
      <c r="UMD554"/>
      <c r="UME554"/>
      <c r="UMF554"/>
      <c r="UMG554"/>
      <c r="UMH554"/>
      <c r="UMI554"/>
      <c r="UMJ554"/>
      <c r="UMK554"/>
      <c r="UML554"/>
      <c r="UMM554"/>
      <c r="UMN554"/>
      <c r="UMO554"/>
      <c r="UMP554"/>
      <c r="UMQ554"/>
      <c r="UMR554"/>
      <c r="UMS554"/>
      <c r="UMT554"/>
      <c r="UMU554"/>
      <c r="UMV554"/>
      <c r="UMW554"/>
      <c r="UMX554"/>
      <c r="UMY554"/>
      <c r="UMZ554"/>
      <c r="UNA554"/>
      <c r="UNB554"/>
      <c r="UNC554"/>
      <c r="UND554"/>
      <c r="UNE554"/>
      <c r="UNF554"/>
      <c r="UNG554"/>
      <c r="UNH554"/>
      <c r="UNI554"/>
      <c r="UNJ554"/>
      <c r="UNK554"/>
      <c r="UNL554"/>
      <c r="UNM554"/>
      <c r="UNN554"/>
      <c r="UNO554"/>
      <c r="UNP554"/>
      <c r="UNQ554"/>
      <c r="UNR554"/>
      <c r="UNS554"/>
      <c r="UNT554"/>
      <c r="UNU554"/>
      <c r="UNV554"/>
      <c r="UNW554"/>
      <c r="UNX554"/>
      <c r="UNY554"/>
      <c r="UNZ554"/>
      <c r="UOA554"/>
      <c r="UOB554"/>
      <c r="UOC554"/>
      <c r="UOD554"/>
      <c r="UOE554"/>
      <c r="UOF554"/>
      <c r="UOG554"/>
      <c r="UOH554"/>
      <c r="UOI554"/>
      <c r="UOJ554"/>
      <c r="UOK554"/>
      <c r="UOL554"/>
      <c r="UOM554"/>
      <c r="UON554"/>
      <c r="UOO554"/>
      <c r="UOP554"/>
      <c r="UOQ554"/>
      <c r="UOR554"/>
      <c r="UOS554"/>
      <c r="UOT554"/>
      <c r="UOU554"/>
      <c r="UOV554"/>
      <c r="UOW554"/>
      <c r="UOX554"/>
      <c r="UOY554"/>
      <c r="UOZ554"/>
      <c r="UPA554"/>
      <c r="UPB554"/>
      <c r="UPC554"/>
      <c r="UPD554"/>
      <c r="UPE554"/>
      <c r="UPF554"/>
      <c r="UPG554"/>
      <c r="UPH554"/>
      <c r="UPI554"/>
      <c r="UPJ554"/>
      <c r="UPK554"/>
      <c r="UPL554"/>
      <c r="UPM554"/>
      <c r="UPN554"/>
      <c r="UPO554"/>
      <c r="UPP554"/>
      <c r="UPQ554"/>
      <c r="UPR554"/>
      <c r="UPS554"/>
      <c r="UPT554"/>
      <c r="UPU554"/>
      <c r="UPV554"/>
      <c r="UPW554"/>
      <c r="UPX554"/>
      <c r="UPY554"/>
      <c r="UPZ554"/>
      <c r="UQA554"/>
      <c r="UQB554"/>
      <c r="UQC554"/>
      <c r="UQD554"/>
      <c r="UQE554"/>
      <c r="UQF554"/>
      <c r="UQG554"/>
      <c r="UQH554"/>
      <c r="UQI554"/>
      <c r="UQJ554"/>
      <c r="UQK554"/>
      <c r="UQL554"/>
      <c r="UQM554"/>
      <c r="UQN554"/>
      <c r="UQO554"/>
      <c r="UQP554"/>
      <c r="UQQ554"/>
      <c r="UQR554"/>
      <c r="UQS554"/>
      <c r="UQT554"/>
      <c r="UQU554"/>
      <c r="UQV554"/>
      <c r="UQW554"/>
      <c r="UQX554"/>
      <c r="UQY554"/>
      <c r="UQZ554"/>
      <c r="URA554"/>
      <c r="URB554"/>
      <c r="URC554"/>
      <c r="URD554"/>
      <c r="URE554"/>
      <c r="URF554"/>
      <c r="URG554"/>
      <c r="URH554"/>
      <c r="URI554"/>
      <c r="URJ554"/>
      <c r="URK554"/>
      <c r="URL554"/>
      <c r="URM554"/>
      <c r="URN554"/>
      <c r="URO554"/>
      <c r="URP554"/>
      <c r="URQ554"/>
      <c r="URR554"/>
      <c r="URS554"/>
      <c r="URT554"/>
      <c r="URU554"/>
      <c r="URV554"/>
      <c r="URW554"/>
      <c r="URX554"/>
      <c r="URY554"/>
      <c r="URZ554"/>
      <c r="USA554"/>
      <c r="USB554"/>
      <c r="USC554"/>
      <c r="USD554"/>
      <c r="USE554"/>
      <c r="USF554"/>
      <c r="USG554"/>
      <c r="USH554"/>
      <c r="USI554"/>
      <c r="USJ554"/>
      <c r="USK554"/>
      <c r="USL554"/>
      <c r="USM554"/>
      <c r="USN554"/>
      <c r="USO554"/>
      <c r="USP554"/>
      <c r="USQ554"/>
      <c r="USR554"/>
      <c r="USS554"/>
      <c r="UST554"/>
      <c r="USU554"/>
      <c r="USV554"/>
      <c r="USW554"/>
      <c r="USX554"/>
      <c r="USY554"/>
      <c r="USZ554"/>
      <c r="UTA554"/>
      <c r="UTB554"/>
      <c r="UTC554"/>
      <c r="UTD554"/>
      <c r="UTE554"/>
      <c r="UTF554"/>
      <c r="UTG554"/>
      <c r="UTH554"/>
      <c r="UTI554"/>
      <c r="UTJ554"/>
      <c r="UTK554"/>
      <c r="UTL554"/>
      <c r="UTM554"/>
      <c r="UTN554"/>
      <c r="UTO554"/>
      <c r="UTP554"/>
      <c r="UTQ554"/>
      <c r="UTR554"/>
      <c r="UTS554"/>
      <c r="UTT554"/>
      <c r="UTU554"/>
      <c r="UTV554"/>
      <c r="UTW554"/>
      <c r="UTX554"/>
      <c r="UTY554"/>
      <c r="UTZ554"/>
      <c r="UUA554"/>
      <c r="UUB554"/>
      <c r="UUC554"/>
      <c r="UUD554"/>
      <c r="UUE554"/>
      <c r="UUF554"/>
      <c r="UUG554"/>
      <c r="UUH554"/>
      <c r="UUI554"/>
      <c r="UUJ554"/>
      <c r="UUK554"/>
      <c r="UUL554"/>
      <c r="UUM554"/>
      <c r="UUN554"/>
      <c r="UUO554"/>
      <c r="UUP554"/>
      <c r="UUQ554"/>
      <c r="UUR554"/>
      <c r="UUS554"/>
      <c r="UUT554"/>
      <c r="UUU554"/>
      <c r="UUV554"/>
      <c r="UUW554"/>
      <c r="UUX554"/>
      <c r="UUY554"/>
      <c r="UUZ554"/>
      <c r="UVA554"/>
      <c r="UVB554"/>
      <c r="UVC554"/>
      <c r="UVD554"/>
      <c r="UVE554"/>
      <c r="UVF554"/>
      <c r="UVG554"/>
      <c r="UVH554"/>
      <c r="UVI554"/>
      <c r="UVJ554"/>
      <c r="UVK554"/>
      <c r="UVL554"/>
      <c r="UVM554"/>
      <c r="UVN554"/>
      <c r="UVO554"/>
      <c r="UVP554"/>
      <c r="UVQ554"/>
      <c r="UVR554"/>
      <c r="UVS554"/>
      <c r="UVT554"/>
      <c r="UVU554"/>
      <c r="UVV554"/>
      <c r="UVW554"/>
      <c r="UVX554"/>
      <c r="UVY554"/>
      <c r="UVZ554"/>
      <c r="UWA554"/>
      <c r="UWB554"/>
      <c r="UWC554"/>
      <c r="UWD554"/>
      <c r="UWE554"/>
      <c r="UWF554"/>
      <c r="UWG554"/>
      <c r="UWH554"/>
      <c r="UWI554"/>
      <c r="UWJ554"/>
      <c r="UWK554"/>
      <c r="UWL554"/>
      <c r="UWM554"/>
      <c r="UWN554"/>
      <c r="UWO554"/>
      <c r="UWP554"/>
      <c r="UWQ554"/>
      <c r="UWR554"/>
      <c r="UWS554"/>
      <c r="UWT554"/>
      <c r="UWU554"/>
      <c r="UWV554"/>
      <c r="UWW554"/>
      <c r="UWX554"/>
      <c r="UWY554"/>
      <c r="UWZ554"/>
      <c r="UXA554"/>
      <c r="UXB554"/>
      <c r="UXC554"/>
      <c r="UXD554"/>
      <c r="UXE554"/>
      <c r="UXF554"/>
      <c r="UXG554"/>
      <c r="UXH554"/>
      <c r="UXI554"/>
      <c r="UXJ554"/>
      <c r="UXK554"/>
      <c r="UXL554"/>
      <c r="UXM554"/>
      <c r="UXN554"/>
      <c r="UXO554"/>
      <c r="UXP554"/>
      <c r="UXQ554"/>
      <c r="UXR554"/>
      <c r="UXS554"/>
      <c r="UXT554"/>
      <c r="UXU554"/>
      <c r="UXV554"/>
      <c r="UXW554"/>
      <c r="UXX554"/>
      <c r="UXY554"/>
      <c r="UXZ554"/>
      <c r="UYA554"/>
      <c r="UYB554"/>
      <c r="UYC554"/>
      <c r="UYD554"/>
      <c r="UYE554"/>
      <c r="UYF554"/>
      <c r="UYG554"/>
      <c r="UYH554"/>
      <c r="UYI554"/>
      <c r="UYJ554"/>
      <c r="UYK554"/>
      <c r="UYL554"/>
      <c r="UYM554"/>
      <c r="UYN554"/>
      <c r="UYO554"/>
      <c r="UYP554"/>
      <c r="UYQ554"/>
      <c r="UYR554"/>
      <c r="UYS554"/>
      <c r="UYT554"/>
      <c r="UYU554"/>
      <c r="UYV554"/>
      <c r="UYW554"/>
      <c r="UYX554"/>
      <c r="UYY554"/>
      <c r="UYZ554"/>
      <c r="UZA554"/>
      <c r="UZB554"/>
      <c r="UZC554"/>
      <c r="UZD554"/>
      <c r="UZE554"/>
      <c r="UZF554"/>
      <c r="UZG554"/>
      <c r="UZH554"/>
      <c r="UZI554"/>
      <c r="UZJ554"/>
      <c r="UZK554"/>
      <c r="UZL554"/>
      <c r="UZM554"/>
      <c r="UZN554"/>
      <c r="UZO554"/>
      <c r="UZP554"/>
      <c r="UZQ554"/>
      <c r="UZR554"/>
      <c r="UZS554"/>
      <c r="UZT554"/>
      <c r="UZU554"/>
      <c r="UZV554"/>
      <c r="UZW554"/>
      <c r="UZX554"/>
      <c r="UZY554"/>
      <c r="UZZ554"/>
      <c r="VAA554"/>
      <c r="VAB554"/>
      <c r="VAC554"/>
      <c r="VAD554"/>
      <c r="VAE554"/>
      <c r="VAF554"/>
      <c r="VAG554"/>
      <c r="VAH554"/>
      <c r="VAI554"/>
      <c r="VAJ554"/>
      <c r="VAK554"/>
      <c r="VAL554"/>
      <c r="VAM554"/>
      <c r="VAN554"/>
      <c r="VAO554"/>
      <c r="VAP554"/>
      <c r="VAQ554"/>
      <c r="VAR554"/>
      <c r="VAS554"/>
      <c r="VAT554"/>
      <c r="VAU554"/>
      <c r="VAV554"/>
      <c r="VAW554"/>
      <c r="VAX554"/>
      <c r="VAY554"/>
      <c r="VAZ554"/>
      <c r="VBA554"/>
      <c r="VBB554"/>
      <c r="VBC554"/>
      <c r="VBD554"/>
      <c r="VBE554"/>
      <c r="VBF554"/>
      <c r="VBG554"/>
      <c r="VBH554"/>
      <c r="VBI554"/>
      <c r="VBJ554"/>
      <c r="VBK554"/>
      <c r="VBL554"/>
      <c r="VBM554"/>
      <c r="VBN554"/>
      <c r="VBO554"/>
      <c r="VBP554"/>
      <c r="VBQ554"/>
      <c r="VBR554"/>
      <c r="VBS554"/>
      <c r="VBT554"/>
      <c r="VBU554"/>
      <c r="VBV554"/>
      <c r="VBW554"/>
      <c r="VBX554"/>
      <c r="VBY554"/>
      <c r="VBZ554"/>
      <c r="VCA554"/>
      <c r="VCB554"/>
      <c r="VCC554"/>
      <c r="VCD554"/>
      <c r="VCE554"/>
      <c r="VCF554"/>
      <c r="VCG554"/>
      <c r="VCH554"/>
      <c r="VCI554"/>
      <c r="VCJ554"/>
      <c r="VCK554"/>
      <c r="VCL554"/>
      <c r="VCM554"/>
      <c r="VCN554"/>
      <c r="VCO554"/>
      <c r="VCP554"/>
      <c r="VCQ554"/>
      <c r="VCR554"/>
      <c r="VCS554"/>
      <c r="VCT554"/>
      <c r="VCU554"/>
      <c r="VCV554"/>
      <c r="VCW554"/>
      <c r="VCX554"/>
      <c r="VCY554"/>
      <c r="VCZ554"/>
      <c r="VDA554"/>
      <c r="VDB554"/>
      <c r="VDC554"/>
      <c r="VDD554"/>
      <c r="VDE554"/>
      <c r="VDF554"/>
      <c r="VDG554"/>
      <c r="VDH554"/>
      <c r="VDI554"/>
      <c r="VDJ554"/>
      <c r="VDK554"/>
      <c r="VDL554"/>
      <c r="VDM554"/>
      <c r="VDN554"/>
      <c r="VDO554"/>
      <c r="VDP554"/>
      <c r="VDQ554"/>
      <c r="VDR554"/>
      <c r="VDS554"/>
      <c r="VDT554"/>
      <c r="VDU554"/>
      <c r="VDV554"/>
      <c r="VDW554"/>
      <c r="VDX554"/>
      <c r="VDY554"/>
      <c r="VDZ554"/>
      <c r="VEA554"/>
      <c r="VEB554"/>
      <c r="VEC554"/>
      <c r="VED554"/>
      <c r="VEE554"/>
      <c r="VEF554"/>
      <c r="VEG554"/>
      <c r="VEH554"/>
      <c r="VEI554"/>
      <c r="VEJ554"/>
      <c r="VEK554"/>
      <c r="VEL554"/>
      <c r="VEM554"/>
      <c r="VEN554"/>
      <c r="VEO554"/>
      <c r="VEP554"/>
      <c r="VEQ554"/>
      <c r="VER554"/>
      <c r="VES554"/>
      <c r="VET554"/>
      <c r="VEU554"/>
      <c r="VEV554"/>
      <c r="VEW554"/>
      <c r="VEX554"/>
      <c r="VEY554"/>
      <c r="VEZ554"/>
      <c r="VFA554"/>
      <c r="VFB554"/>
      <c r="VFC554"/>
      <c r="VFD554"/>
      <c r="VFE554"/>
      <c r="VFF554"/>
      <c r="VFG554"/>
      <c r="VFH554"/>
      <c r="VFI554"/>
      <c r="VFJ554"/>
      <c r="VFK554"/>
      <c r="VFL554"/>
      <c r="VFM554"/>
      <c r="VFN554"/>
      <c r="VFO554"/>
      <c r="VFP554"/>
      <c r="VFQ554"/>
      <c r="VFR554"/>
      <c r="VFS554"/>
      <c r="VFT554"/>
      <c r="VFU554"/>
      <c r="VFV554"/>
      <c r="VFW554"/>
      <c r="VFX554"/>
      <c r="VFY554"/>
      <c r="VFZ554"/>
      <c r="VGA554"/>
      <c r="VGB554"/>
      <c r="VGC554"/>
      <c r="VGD554"/>
      <c r="VGE554"/>
      <c r="VGF554"/>
      <c r="VGG554"/>
      <c r="VGH554"/>
      <c r="VGI554"/>
      <c r="VGJ554"/>
      <c r="VGK554"/>
      <c r="VGL554"/>
      <c r="VGM554"/>
      <c r="VGN554"/>
      <c r="VGO554"/>
      <c r="VGP554"/>
      <c r="VGQ554"/>
      <c r="VGR554"/>
      <c r="VGS554"/>
      <c r="VGT554"/>
      <c r="VGU554"/>
      <c r="VGV554"/>
      <c r="VGW554"/>
      <c r="VGX554"/>
      <c r="VGY554"/>
      <c r="VGZ554"/>
      <c r="VHA554"/>
      <c r="VHB554"/>
      <c r="VHC554"/>
      <c r="VHD554"/>
      <c r="VHE554"/>
      <c r="VHF554"/>
      <c r="VHG554"/>
      <c r="VHH554"/>
      <c r="VHI554"/>
      <c r="VHJ554"/>
      <c r="VHK554"/>
      <c r="VHL554"/>
      <c r="VHM554"/>
      <c r="VHN554"/>
      <c r="VHO554"/>
      <c r="VHP554"/>
      <c r="VHQ554"/>
      <c r="VHR554"/>
      <c r="VHS554"/>
      <c r="VHT554"/>
      <c r="VHU554"/>
      <c r="VHV554"/>
      <c r="VHW554"/>
      <c r="VHX554"/>
      <c r="VHY554"/>
      <c r="VHZ554"/>
      <c r="VIA554"/>
      <c r="VIB554"/>
      <c r="VIC554"/>
      <c r="VID554"/>
      <c r="VIE554"/>
      <c r="VIF554"/>
      <c r="VIG554"/>
      <c r="VIH554"/>
      <c r="VII554"/>
      <c r="VIJ554"/>
      <c r="VIK554"/>
      <c r="VIL554"/>
      <c r="VIM554"/>
      <c r="VIN554"/>
      <c r="VIO554"/>
      <c r="VIP554"/>
      <c r="VIQ554"/>
      <c r="VIR554"/>
      <c r="VIS554"/>
      <c r="VIT554"/>
      <c r="VIU554"/>
      <c r="VIV554"/>
      <c r="VIW554"/>
      <c r="VIX554"/>
      <c r="VIY554"/>
      <c r="VIZ554"/>
      <c r="VJA554"/>
      <c r="VJB554"/>
      <c r="VJC554"/>
      <c r="VJD554"/>
      <c r="VJE554"/>
      <c r="VJF554"/>
      <c r="VJG554"/>
      <c r="VJH554"/>
      <c r="VJI554"/>
      <c r="VJJ554"/>
      <c r="VJK554"/>
      <c r="VJL554"/>
      <c r="VJM554"/>
      <c r="VJN554"/>
      <c r="VJO554"/>
      <c r="VJP554"/>
      <c r="VJQ554"/>
      <c r="VJR554"/>
      <c r="VJS554"/>
      <c r="VJT554"/>
      <c r="VJU554"/>
      <c r="VJV554"/>
      <c r="VJW554"/>
      <c r="VJX554"/>
      <c r="VJY554"/>
      <c r="VJZ554"/>
      <c r="VKA554"/>
      <c r="VKB554"/>
      <c r="VKC554"/>
      <c r="VKD554"/>
      <c r="VKE554"/>
      <c r="VKF554"/>
      <c r="VKG554"/>
      <c r="VKH554"/>
      <c r="VKI554"/>
      <c r="VKJ554"/>
      <c r="VKK554"/>
      <c r="VKL554"/>
      <c r="VKM554"/>
      <c r="VKN554"/>
      <c r="VKO554"/>
      <c r="VKP554"/>
      <c r="VKQ554"/>
      <c r="VKR554"/>
      <c r="VKS554"/>
      <c r="VKT554"/>
      <c r="VKU554"/>
      <c r="VKV554"/>
      <c r="VKW554"/>
      <c r="VKX554"/>
      <c r="VKY554"/>
      <c r="VKZ554"/>
      <c r="VLA554"/>
      <c r="VLB554"/>
      <c r="VLC554"/>
      <c r="VLD554"/>
      <c r="VLE554"/>
      <c r="VLF554"/>
      <c r="VLG554"/>
      <c r="VLH554"/>
      <c r="VLI554"/>
      <c r="VLJ554"/>
      <c r="VLK554"/>
      <c r="VLL554"/>
      <c r="VLM554"/>
      <c r="VLN554"/>
      <c r="VLO554"/>
      <c r="VLP554"/>
      <c r="VLQ554"/>
      <c r="VLR554"/>
      <c r="VLS554"/>
      <c r="VLT554"/>
      <c r="VLU554"/>
      <c r="VLV554"/>
      <c r="VLW554"/>
      <c r="VLX554"/>
      <c r="VLY554"/>
      <c r="VLZ554"/>
      <c r="VMA554"/>
      <c r="VMB554"/>
      <c r="VMC554"/>
      <c r="VMD554"/>
      <c r="VME554"/>
      <c r="VMF554"/>
      <c r="VMG554"/>
      <c r="VMH554"/>
      <c r="VMI554"/>
      <c r="VMJ554"/>
      <c r="VMK554"/>
      <c r="VML554"/>
      <c r="VMM554"/>
      <c r="VMN554"/>
      <c r="VMO554"/>
      <c r="VMP554"/>
      <c r="VMQ554"/>
      <c r="VMR554"/>
      <c r="VMS554"/>
      <c r="VMT554"/>
      <c r="VMU554"/>
      <c r="VMV554"/>
      <c r="VMW554"/>
      <c r="VMX554"/>
      <c r="VMY554"/>
      <c r="VMZ554"/>
      <c r="VNA554"/>
      <c r="VNB554"/>
      <c r="VNC554"/>
      <c r="VND554"/>
      <c r="VNE554"/>
      <c r="VNF554"/>
      <c r="VNG554"/>
      <c r="VNH554"/>
      <c r="VNI554"/>
      <c r="VNJ554"/>
      <c r="VNK554"/>
      <c r="VNL554"/>
      <c r="VNM554"/>
      <c r="VNN554"/>
      <c r="VNO554"/>
      <c r="VNP554"/>
      <c r="VNQ554"/>
      <c r="VNR554"/>
      <c r="VNS554"/>
      <c r="VNT554"/>
      <c r="VNU554"/>
      <c r="VNV554"/>
      <c r="VNW554"/>
      <c r="VNX554"/>
      <c r="VNY554"/>
      <c r="VNZ554"/>
      <c r="VOA554"/>
      <c r="VOB554"/>
      <c r="VOC554"/>
      <c r="VOD554"/>
      <c r="VOE554"/>
      <c r="VOF554"/>
      <c r="VOG554"/>
      <c r="VOH554"/>
      <c r="VOI554"/>
      <c r="VOJ554"/>
      <c r="VOK554"/>
      <c r="VOL554"/>
      <c r="VOM554"/>
      <c r="VON554"/>
      <c r="VOO554"/>
      <c r="VOP554"/>
      <c r="VOQ554"/>
      <c r="VOR554"/>
      <c r="VOS554"/>
      <c r="VOT554"/>
      <c r="VOU554"/>
      <c r="VOV554"/>
      <c r="VOW554"/>
      <c r="VOX554"/>
      <c r="VOY554"/>
      <c r="VOZ554"/>
      <c r="VPA554"/>
      <c r="VPB554"/>
      <c r="VPC554"/>
      <c r="VPD554"/>
      <c r="VPE554"/>
      <c r="VPF554"/>
      <c r="VPG554"/>
      <c r="VPH554"/>
      <c r="VPI554"/>
      <c r="VPJ554"/>
      <c r="VPK554"/>
      <c r="VPL554"/>
      <c r="VPM554"/>
      <c r="VPN554"/>
      <c r="VPO554"/>
      <c r="VPP554"/>
      <c r="VPQ554"/>
      <c r="VPR554"/>
      <c r="VPS554"/>
      <c r="VPT554"/>
      <c r="VPU554"/>
      <c r="VPV554"/>
      <c r="VPW554"/>
      <c r="VPX554"/>
      <c r="VPY554"/>
      <c r="VPZ554"/>
      <c r="VQA554"/>
      <c r="VQB554"/>
      <c r="VQC554"/>
      <c r="VQD554"/>
      <c r="VQE554"/>
      <c r="VQF554"/>
      <c r="VQG554"/>
      <c r="VQH554"/>
      <c r="VQI554"/>
      <c r="VQJ554"/>
      <c r="VQK554"/>
      <c r="VQL554"/>
      <c r="VQM554"/>
      <c r="VQN554"/>
      <c r="VQO554"/>
      <c r="VQP554"/>
      <c r="VQQ554"/>
      <c r="VQR554"/>
      <c r="VQS554"/>
      <c r="VQT554"/>
      <c r="VQU554"/>
      <c r="VQV554"/>
      <c r="VQW554"/>
      <c r="VQX554"/>
      <c r="VQY554"/>
      <c r="VQZ554"/>
      <c r="VRA554"/>
      <c r="VRB554"/>
      <c r="VRC554"/>
      <c r="VRD554"/>
      <c r="VRE554"/>
      <c r="VRF554"/>
      <c r="VRG554"/>
      <c r="VRH554"/>
      <c r="VRI554"/>
      <c r="VRJ554"/>
      <c r="VRK554"/>
      <c r="VRL554"/>
      <c r="VRM554"/>
      <c r="VRN554"/>
      <c r="VRO554"/>
      <c r="VRP554"/>
      <c r="VRQ554"/>
      <c r="VRR554"/>
      <c r="VRS554"/>
      <c r="VRT554"/>
      <c r="VRU554"/>
      <c r="VRV554"/>
      <c r="VRW554"/>
      <c r="VRX554"/>
      <c r="VRY554"/>
      <c r="VRZ554"/>
      <c r="VSA554"/>
      <c r="VSB554"/>
      <c r="VSC554"/>
      <c r="VSD554"/>
      <c r="VSE554"/>
      <c r="VSF554"/>
      <c r="VSG554"/>
      <c r="VSH554"/>
      <c r="VSI554"/>
      <c r="VSJ554"/>
      <c r="VSK554"/>
      <c r="VSL554"/>
      <c r="VSM554"/>
      <c r="VSN554"/>
      <c r="VSO554"/>
      <c r="VSP554"/>
      <c r="VSQ554"/>
      <c r="VSR554"/>
      <c r="VSS554"/>
      <c r="VST554"/>
      <c r="VSU554"/>
      <c r="VSV554"/>
      <c r="VSW554"/>
      <c r="VSX554"/>
      <c r="VSY554"/>
      <c r="VSZ554"/>
      <c r="VTA554"/>
      <c r="VTB554"/>
      <c r="VTC554"/>
      <c r="VTD554"/>
      <c r="VTE554"/>
      <c r="VTF554"/>
      <c r="VTG554"/>
      <c r="VTH554"/>
      <c r="VTI554"/>
      <c r="VTJ554"/>
      <c r="VTK554"/>
      <c r="VTL554"/>
      <c r="VTM554"/>
      <c r="VTN554"/>
      <c r="VTO554"/>
      <c r="VTP554"/>
      <c r="VTQ554"/>
      <c r="VTR554"/>
      <c r="VTS554"/>
      <c r="VTT554"/>
      <c r="VTU554"/>
      <c r="VTV554"/>
      <c r="VTW554"/>
      <c r="VTX554"/>
      <c r="VTY554"/>
      <c r="VTZ554"/>
      <c r="VUA554"/>
      <c r="VUB554"/>
      <c r="VUC554"/>
      <c r="VUD554"/>
      <c r="VUE554"/>
      <c r="VUF554"/>
      <c r="VUG554"/>
      <c r="VUH554"/>
      <c r="VUI554"/>
      <c r="VUJ554"/>
      <c r="VUK554"/>
      <c r="VUL554"/>
      <c r="VUM554"/>
      <c r="VUN554"/>
      <c r="VUO554"/>
      <c r="VUP554"/>
      <c r="VUQ554"/>
      <c r="VUR554"/>
      <c r="VUS554"/>
      <c r="VUT554"/>
      <c r="VUU554"/>
      <c r="VUV554"/>
      <c r="VUW554"/>
      <c r="VUX554"/>
      <c r="VUY554"/>
      <c r="VUZ554"/>
      <c r="VVA554"/>
      <c r="VVB554"/>
      <c r="VVC554"/>
      <c r="VVD554"/>
      <c r="VVE554"/>
      <c r="VVF554"/>
      <c r="VVG554"/>
      <c r="VVH554"/>
      <c r="VVI554"/>
      <c r="VVJ554"/>
      <c r="VVK554"/>
      <c r="VVL554"/>
      <c r="VVM554"/>
      <c r="VVN554"/>
      <c r="VVO554"/>
      <c r="VVP554"/>
      <c r="VVQ554"/>
      <c r="VVR554"/>
      <c r="VVS554"/>
      <c r="VVT554"/>
      <c r="VVU554"/>
      <c r="VVV554"/>
      <c r="VVW554"/>
      <c r="VVX554"/>
      <c r="VVY554"/>
      <c r="VVZ554"/>
      <c r="VWA554"/>
      <c r="VWB554"/>
      <c r="VWC554"/>
      <c r="VWD554"/>
      <c r="VWE554"/>
      <c r="VWF554"/>
      <c r="VWG554"/>
      <c r="VWH554"/>
      <c r="VWI554"/>
      <c r="VWJ554"/>
      <c r="VWK554"/>
      <c r="VWL554"/>
      <c r="VWM554"/>
      <c r="VWN554"/>
      <c r="VWO554"/>
      <c r="VWP554"/>
      <c r="VWQ554"/>
      <c r="VWR554"/>
      <c r="VWS554"/>
      <c r="VWT554"/>
      <c r="VWU554"/>
      <c r="VWV554"/>
      <c r="VWW554"/>
      <c r="VWX554"/>
      <c r="VWY554"/>
      <c r="VWZ554"/>
      <c r="VXA554"/>
      <c r="VXB554"/>
      <c r="VXC554"/>
      <c r="VXD554"/>
      <c r="VXE554"/>
      <c r="VXF554"/>
      <c r="VXG554"/>
      <c r="VXH554"/>
      <c r="VXI554"/>
      <c r="VXJ554"/>
      <c r="VXK554"/>
      <c r="VXL554"/>
      <c r="VXM554"/>
      <c r="VXN554"/>
      <c r="VXO554"/>
      <c r="VXP554"/>
      <c r="VXQ554"/>
      <c r="VXR554"/>
      <c r="VXS554"/>
      <c r="VXT554"/>
      <c r="VXU554"/>
      <c r="VXV554"/>
      <c r="VXW554"/>
      <c r="VXX554"/>
      <c r="VXY554"/>
      <c r="VXZ554"/>
      <c r="VYA554"/>
      <c r="VYB554"/>
      <c r="VYC554"/>
      <c r="VYD554"/>
      <c r="VYE554"/>
      <c r="VYF554"/>
      <c r="VYG554"/>
      <c r="VYH554"/>
      <c r="VYI554"/>
      <c r="VYJ554"/>
      <c r="VYK554"/>
      <c r="VYL554"/>
      <c r="VYM554"/>
      <c r="VYN554"/>
      <c r="VYO554"/>
      <c r="VYP554"/>
      <c r="VYQ554"/>
      <c r="VYR554"/>
      <c r="VYS554"/>
      <c r="VYT554"/>
      <c r="VYU554"/>
      <c r="VYV554"/>
      <c r="VYW554"/>
      <c r="VYX554"/>
      <c r="VYY554"/>
      <c r="VYZ554"/>
      <c r="VZA554"/>
      <c r="VZB554"/>
      <c r="VZC554"/>
      <c r="VZD554"/>
      <c r="VZE554"/>
      <c r="VZF554"/>
      <c r="VZG554"/>
      <c r="VZH554"/>
      <c r="VZI554"/>
      <c r="VZJ554"/>
      <c r="VZK554"/>
      <c r="VZL554"/>
      <c r="VZM554"/>
      <c r="VZN554"/>
      <c r="VZO554"/>
      <c r="VZP554"/>
      <c r="VZQ554"/>
      <c r="VZR554"/>
      <c r="VZS554"/>
      <c r="VZT554"/>
      <c r="VZU554"/>
      <c r="VZV554"/>
      <c r="VZW554"/>
      <c r="VZX554"/>
      <c r="VZY554"/>
      <c r="VZZ554"/>
      <c r="WAA554"/>
      <c r="WAB554"/>
      <c r="WAC554"/>
      <c r="WAD554"/>
      <c r="WAE554"/>
      <c r="WAF554"/>
      <c r="WAG554"/>
      <c r="WAH554"/>
      <c r="WAI554"/>
      <c r="WAJ554"/>
      <c r="WAK554"/>
      <c r="WAL554"/>
      <c r="WAM554"/>
      <c r="WAN554"/>
      <c r="WAO554"/>
      <c r="WAP554"/>
      <c r="WAQ554"/>
      <c r="WAR554"/>
      <c r="WAS554"/>
      <c r="WAT554"/>
      <c r="WAU554"/>
      <c r="WAV554"/>
      <c r="WAW554"/>
      <c r="WAX554"/>
      <c r="WAY554"/>
      <c r="WAZ554"/>
      <c r="WBA554"/>
      <c r="WBB554"/>
      <c r="WBC554"/>
      <c r="WBD554"/>
      <c r="WBE554"/>
      <c r="WBF554"/>
      <c r="WBG554"/>
      <c r="WBH554"/>
      <c r="WBI554"/>
      <c r="WBJ554"/>
      <c r="WBK554"/>
      <c r="WBL554"/>
      <c r="WBM554"/>
      <c r="WBN554"/>
      <c r="WBO554"/>
      <c r="WBP554"/>
      <c r="WBQ554"/>
      <c r="WBR554"/>
      <c r="WBS554"/>
      <c r="WBT554"/>
      <c r="WBU554"/>
      <c r="WBV554"/>
      <c r="WBW554"/>
      <c r="WBX554"/>
      <c r="WBY554"/>
      <c r="WBZ554"/>
      <c r="WCA554"/>
      <c r="WCB554"/>
      <c r="WCC554"/>
      <c r="WCD554"/>
      <c r="WCE554"/>
      <c r="WCF554"/>
      <c r="WCG554"/>
      <c r="WCH554"/>
      <c r="WCI554"/>
      <c r="WCJ554"/>
      <c r="WCK554"/>
      <c r="WCL554"/>
      <c r="WCM554"/>
      <c r="WCN554"/>
      <c r="WCO554"/>
      <c r="WCP554"/>
      <c r="WCQ554"/>
      <c r="WCR554"/>
      <c r="WCS554"/>
      <c r="WCT554"/>
      <c r="WCU554"/>
      <c r="WCV554"/>
      <c r="WCW554"/>
      <c r="WCX554"/>
      <c r="WCY554"/>
      <c r="WCZ554"/>
      <c r="WDA554"/>
      <c r="WDB554"/>
      <c r="WDC554"/>
      <c r="WDD554"/>
      <c r="WDE554"/>
      <c r="WDF554"/>
      <c r="WDG554"/>
      <c r="WDH554"/>
      <c r="WDI554"/>
      <c r="WDJ554"/>
      <c r="WDK554"/>
      <c r="WDL554"/>
      <c r="WDM554"/>
      <c r="WDN554"/>
      <c r="WDO554"/>
      <c r="WDP554"/>
      <c r="WDQ554"/>
      <c r="WDR554"/>
      <c r="WDS554"/>
      <c r="WDT554"/>
      <c r="WDU554"/>
      <c r="WDV554"/>
      <c r="WDW554"/>
      <c r="WDX554"/>
      <c r="WDY554"/>
      <c r="WDZ554"/>
      <c r="WEA554"/>
      <c r="WEB554"/>
      <c r="WEC554"/>
      <c r="WED554"/>
      <c r="WEE554"/>
      <c r="WEF554"/>
      <c r="WEG554"/>
      <c r="WEH554"/>
      <c r="WEI554"/>
      <c r="WEJ554"/>
      <c r="WEK554"/>
      <c r="WEL554"/>
      <c r="WEM554"/>
      <c r="WEN554"/>
      <c r="WEO554"/>
      <c r="WEP554"/>
      <c r="WEQ554"/>
      <c r="WER554"/>
      <c r="WES554"/>
      <c r="WET554"/>
      <c r="WEU554"/>
      <c r="WEV554"/>
      <c r="WEW554"/>
      <c r="WEX554"/>
      <c r="WEY554"/>
      <c r="WEZ554"/>
      <c r="WFA554"/>
      <c r="WFB554"/>
      <c r="WFC554"/>
      <c r="WFD554"/>
      <c r="WFE554"/>
      <c r="WFF554"/>
      <c r="WFG554"/>
      <c r="WFH554"/>
      <c r="WFI554"/>
      <c r="WFJ554"/>
      <c r="WFK554"/>
      <c r="WFL554"/>
      <c r="WFM554"/>
      <c r="WFN554"/>
      <c r="WFO554"/>
      <c r="WFP554"/>
      <c r="WFQ554"/>
      <c r="WFR554"/>
      <c r="WFS554"/>
      <c r="WFT554"/>
      <c r="WFU554"/>
      <c r="WFV554"/>
      <c r="WFW554"/>
      <c r="WFX554"/>
      <c r="WFY554"/>
      <c r="WFZ554"/>
      <c r="WGA554"/>
      <c r="WGB554"/>
      <c r="WGC554"/>
      <c r="WGD554"/>
      <c r="WGE554"/>
      <c r="WGF554"/>
      <c r="WGG554"/>
      <c r="WGH554"/>
      <c r="WGI554"/>
      <c r="WGJ554"/>
      <c r="WGK554"/>
      <c r="WGL554"/>
      <c r="WGM554"/>
      <c r="WGN554"/>
      <c r="WGO554"/>
      <c r="WGP554"/>
      <c r="WGQ554"/>
      <c r="WGR554"/>
      <c r="WGS554"/>
      <c r="WGT554"/>
      <c r="WGU554"/>
      <c r="WGV554"/>
      <c r="WGW554"/>
      <c r="WGX554"/>
      <c r="WGY554"/>
      <c r="WGZ554"/>
      <c r="WHA554"/>
      <c r="WHB554"/>
      <c r="WHC554"/>
      <c r="WHD554"/>
      <c r="WHE554"/>
      <c r="WHF554"/>
      <c r="WHG554"/>
      <c r="WHH554"/>
      <c r="WHI554"/>
      <c r="WHJ554"/>
      <c r="WHK554"/>
      <c r="WHL554"/>
      <c r="WHM554"/>
      <c r="WHN554"/>
      <c r="WHO554"/>
      <c r="WHP554"/>
      <c r="WHQ554"/>
      <c r="WHR554"/>
      <c r="WHS554"/>
      <c r="WHT554"/>
      <c r="WHU554"/>
      <c r="WHV554"/>
      <c r="WHW554"/>
      <c r="WHX554"/>
      <c r="WHY554"/>
      <c r="WHZ554"/>
      <c r="WIA554"/>
      <c r="WIB554"/>
      <c r="WIC554"/>
      <c r="WID554"/>
      <c r="WIE554"/>
      <c r="WIF554"/>
      <c r="WIG554"/>
      <c r="WIH554"/>
      <c r="WII554"/>
      <c r="WIJ554"/>
      <c r="WIK554"/>
      <c r="WIL554"/>
      <c r="WIM554"/>
      <c r="WIN554"/>
      <c r="WIO554"/>
      <c r="WIP554"/>
      <c r="WIQ554"/>
      <c r="WIR554"/>
      <c r="WIS554"/>
      <c r="WIT554"/>
      <c r="WIU554"/>
      <c r="WIV554"/>
      <c r="WIW554"/>
      <c r="WIX554"/>
      <c r="WIY554"/>
      <c r="WIZ554"/>
      <c r="WJA554"/>
      <c r="WJB554"/>
      <c r="WJC554"/>
      <c r="WJD554"/>
      <c r="WJE554"/>
      <c r="WJF554"/>
      <c r="WJG554"/>
      <c r="WJH554"/>
      <c r="WJI554"/>
      <c r="WJJ554"/>
      <c r="WJK554"/>
      <c r="WJL554"/>
      <c r="WJM554"/>
      <c r="WJN554"/>
      <c r="WJO554"/>
      <c r="WJP554"/>
      <c r="WJQ554"/>
      <c r="WJR554"/>
      <c r="WJS554"/>
      <c r="WJT554"/>
      <c r="WJU554"/>
      <c r="WJV554"/>
      <c r="WJW554"/>
      <c r="WJX554"/>
      <c r="WJY554"/>
      <c r="WJZ554"/>
      <c r="WKA554"/>
      <c r="WKB554"/>
      <c r="WKC554"/>
      <c r="WKD554"/>
      <c r="WKE554"/>
      <c r="WKF554"/>
      <c r="WKG554"/>
      <c r="WKH554"/>
      <c r="WKI554"/>
      <c r="WKJ554"/>
      <c r="WKK554"/>
      <c r="WKL554"/>
      <c r="WKM554"/>
      <c r="WKN554"/>
      <c r="WKO554"/>
      <c r="WKP554"/>
      <c r="WKQ554"/>
      <c r="WKR554"/>
      <c r="WKS554"/>
      <c r="WKT554"/>
      <c r="WKU554"/>
      <c r="WKV554"/>
      <c r="WKW554"/>
      <c r="WKX554"/>
      <c r="WKY554"/>
      <c r="WKZ554"/>
      <c r="WLA554"/>
      <c r="WLB554"/>
      <c r="WLC554"/>
      <c r="WLD554"/>
      <c r="WLE554"/>
      <c r="WLF554"/>
      <c r="WLG554"/>
      <c r="WLH554"/>
      <c r="WLI554"/>
      <c r="WLJ554"/>
      <c r="WLK554"/>
      <c r="WLL554"/>
      <c r="WLM554"/>
      <c r="WLN554"/>
      <c r="WLO554"/>
      <c r="WLP554"/>
      <c r="WLQ554"/>
      <c r="WLR554"/>
      <c r="WLS554"/>
      <c r="WLT554"/>
      <c r="WLU554"/>
      <c r="WLV554"/>
      <c r="WLW554"/>
      <c r="WLX554"/>
      <c r="WLY554"/>
      <c r="WLZ554"/>
      <c r="WMA554"/>
      <c r="WMB554"/>
      <c r="WMC554"/>
      <c r="WMD554"/>
      <c r="WME554"/>
      <c r="WMF554"/>
      <c r="WMG554"/>
      <c r="WMH554"/>
      <c r="WMI554"/>
      <c r="WMJ554"/>
      <c r="WMK554"/>
      <c r="WML554"/>
      <c r="WMM554"/>
      <c r="WMN554"/>
      <c r="WMO554"/>
      <c r="WMP554"/>
      <c r="WMQ554"/>
      <c r="WMR554"/>
      <c r="WMS554"/>
      <c r="WMT554"/>
      <c r="WMU554"/>
      <c r="WMV554"/>
      <c r="WMW554"/>
      <c r="WMX554"/>
      <c r="WMY554"/>
      <c r="WMZ554"/>
      <c r="WNA554"/>
      <c r="WNB554"/>
      <c r="WNC554"/>
      <c r="WND554"/>
      <c r="WNE554"/>
      <c r="WNF554"/>
      <c r="WNG554"/>
      <c r="WNH554"/>
      <c r="WNI554"/>
      <c r="WNJ554"/>
      <c r="WNK554"/>
      <c r="WNL554"/>
      <c r="WNM554"/>
      <c r="WNN554"/>
      <c r="WNO554"/>
      <c r="WNP554"/>
      <c r="WNQ554"/>
      <c r="WNR554"/>
      <c r="WNS554"/>
      <c r="WNT554"/>
      <c r="WNU554"/>
      <c r="WNV554"/>
      <c r="WNW554"/>
      <c r="WNX554"/>
      <c r="WNY554"/>
      <c r="WNZ554"/>
      <c r="WOA554"/>
      <c r="WOB554"/>
      <c r="WOC554"/>
      <c r="WOD554"/>
      <c r="WOE554"/>
      <c r="WOF554"/>
      <c r="WOG554"/>
      <c r="WOH554"/>
      <c r="WOI554"/>
      <c r="WOJ554"/>
      <c r="WOK554"/>
      <c r="WOL554"/>
      <c r="WOM554"/>
      <c r="WON554"/>
      <c r="WOO554"/>
      <c r="WOP554"/>
      <c r="WOQ554"/>
      <c r="WOR554"/>
      <c r="WOS554"/>
      <c r="WOT554"/>
      <c r="WOU554"/>
      <c r="WOV554"/>
      <c r="WOW554"/>
      <c r="WOX554"/>
      <c r="WOY554"/>
      <c r="WOZ554"/>
      <c r="WPA554"/>
      <c r="WPB554"/>
      <c r="WPC554"/>
      <c r="WPD554"/>
      <c r="WPE554"/>
      <c r="WPF554"/>
      <c r="WPG554"/>
      <c r="WPH554"/>
      <c r="WPI554"/>
      <c r="WPJ554"/>
      <c r="WPK554"/>
      <c r="WPL554"/>
      <c r="WPM554"/>
      <c r="WPN554"/>
      <c r="WPO554"/>
      <c r="WPP554"/>
      <c r="WPQ554"/>
      <c r="WPR554"/>
      <c r="WPS554"/>
      <c r="WPT554"/>
      <c r="WPU554"/>
      <c r="WPV554"/>
      <c r="WPW554"/>
      <c r="WPX554"/>
      <c r="WPY554"/>
      <c r="WPZ554"/>
      <c r="WQA554"/>
      <c r="WQB554"/>
      <c r="WQC554"/>
      <c r="WQD554"/>
      <c r="WQE554"/>
      <c r="WQF554"/>
      <c r="WQG554"/>
      <c r="WQH554"/>
      <c r="WQI554"/>
      <c r="WQJ554"/>
      <c r="WQK554"/>
      <c r="WQL554"/>
      <c r="WQM554"/>
      <c r="WQN554"/>
      <c r="WQO554"/>
      <c r="WQP554"/>
      <c r="WQQ554"/>
      <c r="WQR554"/>
      <c r="WQS554"/>
      <c r="WQT554"/>
      <c r="WQU554"/>
      <c r="WQV554"/>
      <c r="WQW554"/>
      <c r="WQX554"/>
      <c r="WQY554"/>
      <c r="WQZ554"/>
      <c r="WRA554"/>
      <c r="WRB554"/>
      <c r="WRC554"/>
      <c r="WRD554"/>
      <c r="WRE554"/>
      <c r="WRF554"/>
      <c r="WRG554"/>
      <c r="WRH554"/>
      <c r="WRI554"/>
      <c r="WRJ554"/>
      <c r="WRK554"/>
      <c r="WRL554"/>
      <c r="WRM554"/>
      <c r="WRN554"/>
      <c r="WRO554"/>
      <c r="WRP554"/>
      <c r="WRQ554"/>
      <c r="WRR554"/>
      <c r="WRS554"/>
      <c r="WRT554"/>
      <c r="WRU554"/>
      <c r="WRV554"/>
      <c r="WRW554"/>
      <c r="WRX554"/>
      <c r="WRY554"/>
      <c r="WRZ554"/>
      <c r="WSA554"/>
      <c r="WSB554"/>
      <c r="WSC554"/>
      <c r="WSD554"/>
      <c r="WSE554"/>
      <c r="WSF554"/>
      <c r="WSG554"/>
      <c r="WSH554"/>
      <c r="WSI554"/>
      <c r="WSJ554"/>
      <c r="WSK554"/>
      <c r="WSL554"/>
      <c r="WSM554"/>
      <c r="WSN554"/>
      <c r="WSO554"/>
      <c r="WSP554"/>
      <c r="WSQ554"/>
      <c r="WSR554"/>
      <c r="WSS554"/>
      <c r="WST554"/>
      <c r="WSU554"/>
      <c r="WSV554"/>
      <c r="WSW554"/>
      <c r="WSX554"/>
      <c r="WSY554"/>
      <c r="WSZ554"/>
      <c r="WTA554"/>
      <c r="WTB554"/>
      <c r="WTC554"/>
      <c r="WTD554"/>
      <c r="WTE554"/>
      <c r="WTF554"/>
      <c r="WTG554"/>
      <c r="WTH554"/>
      <c r="WTI554"/>
      <c r="WTJ554"/>
      <c r="WTK554"/>
      <c r="WTL554"/>
      <c r="WTM554"/>
      <c r="WTN554"/>
      <c r="WTO554"/>
      <c r="WTP554"/>
      <c r="WTQ554"/>
      <c r="WTR554"/>
      <c r="WTS554"/>
      <c r="WTT554"/>
      <c r="WTU554"/>
      <c r="WTV554"/>
      <c r="WTW554"/>
      <c r="WTX554"/>
      <c r="WTY554"/>
      <c r="WTZ554"/>
      <c r="WUA554"/>
      <c r="WUB554"/>
      <c r="WUC554"/>
      <c r="WUD554"/>
      <c r="WUE554"/>
      <c r="WUF554"/>
      <c r="WUG554"/>
      <c r="WUH554"/>
      <c r="WUI554"/>
      <c r="WUJ554"/>
      <c r="WUK554"/>
      <c r="WUL554"/>
      <c r="WUM554"/>
      <c r="WUN554"/>
      <c r="WUO554"/>
      <c r="WUP554"/>
      <c r="WUQ554"/>
      <c r="WUR554"/>
      <c r="WUS554"/>
      <c r="WUT554"/>
      <c r="WUU554"/>
      <c r="WUV554"/>
      <c r="WUW554"/>
      <c r="WUX554"/>
      <c r="WUY554"/>
      <c r="WUZ554"/>
      <c r="WVA554"/>
      <c r="WVB554"/>
      <c r="WVC554"/>
      <c r="WVD554"/>
      <c r="WVE554"/>
      <c r="WVF554"/>
      <c r="WVG554"/>
      <c r="WVH554"/>
      <c r="WVI554"/>
      <c r="WVJ554"/>
      <c r="WVK554"/>
      <c r="WVL554"/>
      <c r="WVM554"/>
      <c r="WVN554"/>
      <c r="WVO554"/>
      <c r="WVP554"/>
      <c r="WVQ554"/>
      <c r="WVR554"/>
      <c r="WVS554"/>
      <c r="WVT554"/>
      <c r="WVU554"/>
      <c r="WVV554"/>
      <c r="WVW554"/>
      <c r="WVX554"/>
      <c r="WVY554"/>
      <c r="WVZ554"/>
      <c r="WWA554"/>
      <c r="WWB554"/>
      <c r="WWC554"/>
      <c r="WWD554"/>
      <c r="WWE554"/>
      <c r="WWF554"/>
      <c r="WWG554"/>
      <c r="WWH554"/>
      <c r="WWI554"/>
      <c r="WWJ554"/>
      <c r="WWK554"/>
      <c r="WWL554"/>
      <c r="WWM554"/>
      <c r="WWN554"/>
      <c r="WWO554"/>
      <c r="WWP554"/>
      <c r="WWQ554"/>
      <c r="WWR554"/>
      <c r="WWS554"/>
      <c r="WWT554"/>
      <c r="WWU554"/>
      <c r="WWV554"/>
      <c r="WWW554"/>
      <c r="WWX554"/>
      <c r="WWY554"/>
      <c r="WWZ554"/>
      <c r="WXA554"/>
      <c r="WXB554"/>
      <c r="WXC554"/>
      <c r="WXD554"/>
      <c r="WXE554"/>
      <c r="WXF554"/>
      <c r="WXG554"/>
      <c r="WXH554"/>
      <c r="WXI554"/>
      <c r="WXJ554"/>
      <c r="WXK554"/>
      <c r="WXL554"/>
      <c r="WXM554"/>
      <c r="WXN554"/>
      <c r="WXO554"/>
      <c r="WXP554"/>
      <c r="WXQ554"/>
      <c r="WXR554"/>
      <c r="WXS554"/>
      <c r="WXT554"/>
      <c r="WXU554"/>
      <c r="WXV554"/>
      <c r="WXW554"/>
      <c r="WXX554"/>
      <c r="WXY554"/>
      <c r="WXZ554"/>
      <c r="WYA554"/>
      <c r="WYB554"/>
      <c r="WYC554"/>
      <c r="WYD554"/>
      <c r="WYE554"/>
      <c r="WYF554"/>
      <c r="WYG554"/>
      <c r="WYH554"/>
      <c r="WYI554"/>
      <c r="WYJ554"/>
      <c r="WYK554"/>
      <c r="WYL554"/>
      <c r="WYM554"/>
      <c r="WYN554"/>
      <c r="WYO554"/>
      <c r="WYP554"/>
      <c r="WYQ554"/>
      <c r="WYR554"/>
      <c r="WYS554"/>
      <c r="WYT554"/>
      <c r="WYU554"/>
      <c r="WYV554"/>
      <c r="WYW554"/>
      <c r="WYX554"/>
      <c r="WYY554"/>
      <c r="WYZ554"/>
      <c r="WZA554"/>
      <c r="WZB554"/>
      <c r="WZC554"/>
      <c r="WZD554"/>
      <c r="WZE554"/>
      <c r="WZF554"/>
      <c r="WZG554"/>
      <c r="WZH554"/>
      <c r="WZI554"/>
      <c r="WZJ554"/>
      <c r="WZK554"/>
      <c r="WZL554"/>
      <c r="WZM554"/>
      <c r="WZN554"/>
      <c r="WZO554"/>
      <c r="WZP554"/>
      <c r="WZQ554"/>
      <c r="WZR554"/>
      <c r="WZS554"/>
      <c r="WZT554"/>
      <c r="WZU554"/>
      <c r="WZV554"/>
      <c r="WZW554"/>
      <c r="WZX554"/>
      <c r="WZY554"/>
      <c r="WZZ554"/>
      <c r="XAA554"/>
      <c r="XAB554"/>
      <c r="XAC554"/>
      <c r="XAD554"/>
      <c r="XAE554"/>
      <c r="XAF554"/>
      <c r="XAG554"/>
      <c r="XAH554"/>
      <c r="XAI554"/>
      <c r="XAJ554"/>
      <c r="XAK554"/>
      <c r="XAL554"/>
      <c r="XAM554"/>
      <c r="XAN554"/>
      <c r="XAO554"/>
      <c r="XAP554"/>
      <c r="XAQ554"/>
      <c r="XAR554"/>
      <c r="XAS554"/>
      <c r="XAT554"/>
      <c r="XAU554"/>
      <c r="XAV554"/>
      <c r="XAW554"/>
      <c r="XAX554"/>
      <c r="XAY554"/>
      <c r="XAZ554"/>
      <c r="XBA554"/>
      <c r="XBB554"/>
      <c r="XBC554"/>
      <c r="XBD554"/>
      <c r="XBE554"/>
      <c r="XBF554"/>
      <c r="XBG554"/>
      <c r="XBH554"/>
      <c r="XBI554"/>
      <c r="XBJ554"/>
      <c r="XBK554"/>
      <c r="XBL554"/>
      <c r="XBM554"/>
      <c r="XBN554"/>
      <c r="XBO554"/>
      <c r="XBP554"/>
      <c r="XBQ554"/>
      <c r="XBR554"/>
      <c r="XBS554"/>
      <c r="XBT554"/>
      <c r="XBU554"/>
      <c r="XBV554"/>
      <c r="XBW554"/>
      <c r="XBX554"/>
      <c r="XBY554"/>
      <c r="XBZ554"/>
      <c r="XCA554"/>
      <c r="XCB554"/>
      <c r="XCC554"/>
      <c r="XCD554"/>
      <c r="XCE554"/>
      <c r="XCF554"/>
      <c r="XCG554"/>
      <c r="XCH554"/>
      <c r="XCI554"/>
      <c r="XCJ554"/>
      <c r="XCK554"/>
      <c r="XCL554"/>
      <c r="XCM554"/>
      <c r="XCN554"/>
      <c r="XCO554"/>
      <c r="XCP554"/>
      <c r="XCQ554"/>
      <c r="XCR554"/>
      <c r="XCS554"/>
      <c r="XCT554"/>
      <c r="XCU554"/>
      <c r="XCV554"/>
      <c r="XCW554"/>
      <c r="XCX554"/>
      <c r="XCY554"/>
      <c r="XCZ554"/>
      <c r="XDA554"/>
      <c r="XDB554"/>
      <c r="XDC554"/>
      <c r="XDD554"/>
      <c r="XDE554"/>
      <c r="XDF554"/>
      <c r="XDG554"/>
      <c r="XDH554"/>
      <c r="XDI554"/>
      <c r="XDJ554"/>
      <c r="XDK554"/>
      <c r="XDL554"/>
      <c r="XDM554"/>
      <c r="XDN554"/>
      <c r="XDO554"/>
      <c r="XDP554"/>
      <c r="XDQ554"/>
      <c r="XDR554"/>
      <c r="XDS554"/>
      <c r="XDT554"/>
      <c r="XDU554"/>
      <c r="XDV554"/>
      <c r="XDW554"/>
      <c r="XDX554"/>
      <c r="XDY554"/>
      <c r="XDZ554"/>
      <c r="XEA554"/>
      <c r="XEB554"/>
      <c r="XEC554"/>
      <c r="XED554"/>
      <c r="XEE554"/>
      <c r="XEF554"/>
      <c r="XEG554"/>
      <c r="XEH554"/>
      <c r="XEI554"/>
      <c r="XEJ554"/>
      <c r="XEK554"/>
      <c r="XEL554"/>
      <c r="XEM554"/>
      <c r="XEN554"/>
      <c r="XEO554"/>
      <c r="XEP554"/>
      <c r="XEQ554"/>
      <c r="XER554"/>
      <c r="XES554"/>
      <c r="XET554"/>
      <c r="XEU554"/>
      <c r="XEV554"/>
      <c r="XEW554"/>
      <c r="XEX554"/>
      <c r="XEY554"/>
      <c r="XEZ554"/>
    </row>
    <row r="555" spans="1:16380">
      <c r="A555" s="375" t="s">
        <v>1515</v>
      </c>
      <c r="B555" s="381" t="s">
        <v>2166</v>
      </c>
      <c r="C555" s="373">
        <v>177.8</v>
      </c>
      <c r="D555" s="373">
        <v>100</v>
      </c>
      <c r="E555" s="373">
        <v>152.4</v>
      </c>
      <c r="F555" s="373">
        <v>137.30000000000001</v>
      </c>
      <c r="G555" s="17">
        <f t="shared" si="63"/>
        <v>2.5754330000000003</v>
      </c>
      <c r="K555" s="59"/>
      <c r="L555" s="20"/>
      <c r="M555" s="20"/>
      <c r="N555" s="20"/>
      <c r="O555" s="20"/>
      <c r="P555" s="20"/>
      <c r="Q555" s="23"/>
      <c r="R555" s="22" t="s">
        <v>16</v>
      </c>
      <c r="S555" s="22" t="s">
        <v>16</v>
      </c>
      <c r="T555" s="20">
        <f t="shared" si="62"/>
        <v>3615.7746844413577</v>
      </c>
      <c r="U555" s="22">
        <v>1</v>
      </c>
    </row>
    <row r="556" spans="1:16380">
      <c r="A556" s="375" t="s">
        <v>1516</v>
      </c>
      <c r="B556" s="381" t="s">
        <v>2166</v>
      </c>
      <c r="C556" s="373">
        <v>177.8</v>
      </c>
      <c r="D556" s="373">
        <v>100</v>
      </c>
      <c r="E556" s="373">
        <v>152.4</v>
      </c>
      <c r="F556" s="373">
        <v>127</v>
      </c>
      <c r="G556" s="17">
        <f t="shared" si="63"/>
        <v>2.4838659999999999</v>
      </c>
      <c r="K556" s="59"/>
      <c r="L556" s="20"/>
      <c r="M556" s="20"/>
      <c r="N556" s="20"/>
      <c r="O556" s="20"/>
      <c r="P556" s="20"/>
      <c r="Q556" s="23"/>
      <c r="R556" s="22" t="s">
        <v>16</v>
      </c>
      <c r="S556" s="22" t="s">
        <v>16</v>
      </c>
      <c r="T556" s="20">
        <f t="shared" si="62"/>
        <v>2153.0716012246312</v>
      </c>
      <c r="U556" s="22">
        <v>1</v>
      </c>
    </row>
    <row r="557" spans="1:16380">
      <c r="A557" s="383" t="s">
        <v>1542</v>
      </c>
      <c r="B557" s="447" t="s">
        <v>2166</v>
      </c>
      <c r="C557" s="379">
        <v>203.2</v>
      </c>
      <c r="D557" s="379">
        <v>171.5</v>
      </c>
      <c r="E557" s="379">
        <v>76.2</v>
      </c>
      <c r="F557" s="379">
        <v>69.900000000000006</v>
      </c>
      <c r="G557" s="17">
        <f>((E557+F557)/2)*D557*C557/10^6</f>
        <v>2.5457048400000004</v>
      </c>
      <c r="K557" s="59"/>
      <c r="L557" s="20"/>
      <c r="M557" s="20"/>
      <c r="N557" s="20"/>
      <c r="O557" s="20"/>
      <c r="P557" s="20"/>
      <c r="Q557" s="23"/>
      <c r="R557" s="22" t="s">
        <v>16</v>
      </c>
      <c r="S557" s="22" t="s">
        <v>16</v>
      </c>
      <c r="T557" s="20">
        <f t="shared" si="62"/>
        <v>4980.6110384521844</v>
      </c>
      <c r="U557" s="22">
        <v>1</v>
      </c>
    </row>
    <row r="558" spans="1:16380">
      <c r="A558" s="383" t="s">
        <v>1541</v>
      </c>
      <c r="B558" s="447" t="s">
        <v>2166</v>
      </c>
      <c r="C558" s="379">
        <v>203.2</v>
      </c>
      <c r="D558" s="379">
        <v>171.5</v>
      </c>
      <c r="E558" s="379">
        <v>76.2</v>
      </c>
      <c r="F558" s="379">
        <v>63.5</v>
      </c>
      <c r="G558" s="17">
        <f t="shared" si="63"/>
        <v>2.4341886799999997</v>
      </c>
      <c r="K558" s="59"/>
      <c r="L558" s="20"/>
      <c r="M558" s="20"/>
      <c r="N558" s="20"/>
      <c r="O558" s="20"/>
      <c r="P558" s="20"/>
      <c r="Q558" s="23"/>
      <c r="R558" s="22" t="s">
        <v>16</v>
      </c>
      <c r="S558" s="22" t="s">
        <v>16</v>
      </c>
      <c r="T558" s="20">
        <f t="shared" si="62"/>
        <v>2471.6059556490795</v>
      </c>
      <c r="U558" s="22">
        <v>1</v>
      </c>
    </row>
    <row r="559" spans="1:16380">
      <c r="A559" s="383" t="s">
        <v>1543</v>
      </c>
      <c r="B559" s="447" t="s">
        <v>2166</v>
      </c>
      <c r="C559" s="379">
        <v>203.2</v>
      </c>
      <c r="D559" s="379">
        <v>171.5</v>
      </c>
      <c r="E559" s="379">
        <v>100</v>
      </c>
      <c r="F559" s="379">
        <v>95</v>
      </c>
      <c r="G559" s="17">
        <f t="shared" si="63"/>
        <v>3.3977580000000001</v>
      </c>
      <c r="K559" s="59"/>
      <c r="L559" s="20"/>
      <c r="M559" s="20"/>
      <c r="N559" s="20"/>
      <c r="O559" s="20"/>
      <c r="P559" s="20"/>
      <c r="Q559" s="23"/>
      <c r="R559" s="22" t="s">
        <v>16</v>
      </c>
      <c r="S559" s="22" t="s">
        <v>16</v>
      </c>
      <c r="T559" s="20">
        <f t="shared" si="62"/>
        <v>8209.9012855453966</v>
      </c>
      <c r="U559" s="22">
        <v>1</v>
      </c>
    </row>
    <row r="560" spans="1:16380">
      <c r="A560" s="383" t="s">
        <v>1540</v>
      </c>
      <c r="B560" s="447" t="s">
        <v>2166</v>
      </c>
      <c r="C560" s="379">
        <v>203.2</v>
      </c>
      <c r="D560" s="379">
        <v>171.5</v>
      </c>
      <c r="E560" s="379">
        <v>100</v>
      </c>
      <c r="F560" s="379">
        <v>90</v>
      </c>
      <c r="G560" s="17">
        <f t="shared" si="63"/>
        <v>3.3106360000000001</v>
      </c>
      <c r="K560" s="59"/>
      <c r="L560" s="20"/>
      <c r="M560" s="20"/>
      <c r="N560" s="20"/>
      <c r="O560" s="20"/>
      <c r="P560" s="20"/>
      <c r="Q560" s="23"/>
      <c r="R560" s="22" t="s">
        <v>16</v>
      </c>
      <c r="S560" s="22" t="s">
        <v>16</v>
      </c>
      <c r="T560" s="20">
        <f t="shared" si="62"/>
        <v>4105.8824300751721</v>
      </c>
      <c r="U560" s="22">
        <v>1</v>
      </c>
    </row>
    <row r="561" spans="1:21">
      <c r="A561" s="363" t="s">
        <v>1549</v>
      </c>
      <c r="B561" s="448" t="s">
        <v>2166</v>
      </c>
      <c r="C561" s="382">
        <v>228.6</v>
      </c>
      <c r="D561" s="382">
        <v>114.3</v>
      </c>
      <c r="E561" s="382">
        <v>76.2</v>
      </c>
      <c r="F561" s="382">
        <v>73</v>
      </c>
      <c r="G561" s="17">
        <f t="shared" ref="G561:G600" si="64">((E561+F561)/2)*D561*C561/10^6</f>
        <v>1.9492219079999995</v>
      </c>
      <c r="K561" s="59"/>
      <c r="L561" s="20"/>
      <c r="M561" s="20"/>
      <c r="N561" s="20"/>
      <c r="O561" s="20"/>
      <c r="P561" s="20"/>
      <c r="Q561" s="23"/>
      <c r="R561" s="22" t="s">
        <v>16</v>
      </c>
      <c r="S561" s="22" t="s">
        <v>16</v>
      </c>
      <c r="T561" s="20">
        <f t="shared" si="62"/>
        <v>11030.220162920583</v>
      </c>
      <c r="U561" s="22">
        <v>1</v>
      </c>
    </row>
    <row r="562" spans="1:21">
      <c r="A562" s="363" t="s">
        <v>1544</v>
      </c>
      <c r="B562" s="448" t="s">
        <v>2166</v>
      </c>
      <c r="C562" s="382">
        <v>228.6</v>
      </c>
      <c r="D562" s="382">
        <v>114.3</v>
      </c>
      <c r="E562" s="382">
        <v>76.2</v>
      </c>
      <c r="F562" s="382">
        <v>69.900000000000006</v>
      </c>
      <c r="G562" s="17">
        <f t="shared" si="64"/>
        <v>1.9087219890000002</v>
      </c>
      <c r="K562" s="59"/>
      <c r="L562" s="20"/>
      <c r="M562" s="20"/>
      <c r="N562" s="20"/>
      <c r="O562" s="20"/>
      <c r="P562" s="20"/>
      <c r="Q562" s="23"/>
      <c r="R562" s="22" t="s">
        <v>16</v>
      </c>
      <c r="S562" s="22" t="s">
        <v>16</v>
      </c>
      <c r="T562" s="20">
        <f t="shared" si="62"/>
        <v>5603.0461502322723</v>
      </c>
      <c r="U562" s="22">
        <v>1</v>
      </c>
    </row>
    <row r="563" spans="1:21">
      <c r="A563" s="363" t="s">
        <v>1547</v>
      </c>
      <c r="B563" s="448" t="s">
        <v>2166</v>
      </c>
      <c r="C563" s="382">
        <v>228.6</v>
      </c>
      <c r="D563" s="382">
        <v>114.3</v>
      </c>
      <c r="E563" s="382">
        <v>76.2</v>
      </c>
      <c r="F563" s="382">
        <v>63.5</v>
      </c>
      <c r="G563" s="17">
        <f t="shared" si="64"/>
        <v>1.8251092529999997</v>
      </c>
      <c r="K563" s="59"/>
      <c r="L563" s="20"/>
      <c r="M563" s="20"/>
      <c r="N563" s="20"/>
      <c r="O563" s="20"/>
      <c r="P563" s="20"/>
      <c r="Q563" s="23"/>
      <c r="R563" s="22" t="s">
        <v>16</v>
      </c>
      <c r="S563" s="22" t="s">
        <v>16</v>
      </c>
      <c r="T563" s="20">
        <f t="shared" si="62"/>
        <v>2780.2720154689896</v>
      </c>
      <c r="U563" s="22">
        <v>1</v>
      </c>
    </row>
    <row r="564" spans="1:21">
      <c r="A564" s="363" t="s">
        <v>1525</v>
      </c>
      <c r="B564" s="448" t="s">
        <v>2166</v>
      </c>
      <c r="C564" s="382">
        <v>228.6</v>
      </c>
      <c r="D564" s="382">
        <v>114.3</v>
      </c>
      <c r="E564" s="382">
        <v>76.2</v>
      </c>
      <c r="F564" s="382">
        <v>50.8</v>
      </c>
      <c r="G564" s="17">
        <f t="shared" si="64"/>
        <v>1.6591902299999999</v>
      </c>
      <c r="K564" s="59"/>
      <c r="L564" s="20"/>
      <c r="M564" s="20"/>
      <c r="N564" s="20"/>
      <c r="O564" s="20"/>
      <c r="P564" s="20"/>
      <c r="Q564" s="23"/>
      <c r="R564" s="22" t="s">
        <v>16</v>
      </c>
      <c r="S564" s="22" t="s">
        <v>16</v>
      </c>
      <c r="T564" s="20">
        <f t="shared" si="62"/>
        <v>1391.7427923290995</v>
      </c>
      <c r="U564" s="22">
        <v>1</v>
      </c>
    </row>
    <row r="565" spans="1:21">
      <c r="A565" s="363" t="s">
        <v>1554</v>
      </c>
      <c r="B565" s="448" t="s">
        <v>2166</v>
      </c>
      <c r="C565" s="382">
        <v>228.6</v>
      </c>
      <c r="D565" s="382">
        <v>114.3</v>
      </c>
      <c r="E565" s="382">
        <v>76.2</v>
      </c>
      <c r="F565" s="382">
        <v>38.1</v>
      </c>
      <c r="G565" s="17">
        <f t="shared" si="64"/>
        <v>1.4932712070000003</v>
      </c>
      <c r="K565" s="59"/>
      <c r="L565" s="20"/>
      <c r="M565" s="20"/>
      <c r="N565" s="20"/>
      <c r="O565" s="20"/>
      <c r="P565" s="20"/>
      <c r="Q565" s="23"/>
      <c r="R565" s="22" t="s">
        <v>16</v>
      </c>
      <c r="S565" s="22" t="s">
        <v>16</v>
      </c>
      <c r="T565" s="20">
        <f t="shared" si="62"/>
        <v>929.61110148276509</v>
      </c>
      <c r="U565" s="22">
        <v>1</v>
      </c>
    </row>
    <row r="566" spans="1:21">
      <c r="A566" s="363" t="s">
        <v>1526</v>
      </c>
      <c r="B566" s="448" t="s">
        <v>2166</v>
      </c>
      <c r="C566" s="382">
        <v>228.6</v>
      </c>
      <c r="D566" s="382">
        <v>114.3</v>
      </c>
      <c r="E566" s="382">
        <v>76.2</v>
      </c>
      <c r="F566" s="382">
        <v>25.4</v>
      </c>
      <c r="G566" s="17">
        <f t="shared" si="64"/>
        <v>1.327352184</v>
      </c>
      <c r="K566" s="59"/>
      <c r="L566" s="20"/>
      <c r="M566" s="20"/>
      <c r="N566" s="20"/>
      <c r="O566" s="20"/>
      <c r="P566" s="20"/>
      <c r="Q566" s="23"/>
      <c r="R566" s="22" t="s">
        <v>16</v>
      </c>
      <c r="S566" s="22" t="s">
        <v>16</v>
      </c>
      <c r="T566" s="20">
        <f t="shared" si="62"/>
        <v>699.07573266420854</v>
      </c>
      <c r="U566" s="22">
        <v>1</v>
      </c>
    </row>
    <row r="567" spans="1:21">
      <c r="A567" s="363" t="s">
        <v>1560</v>
      </c>
      <c r="B567" s="448" t="s">
        <v>2166</v>
      </c>
      <c r="C567" s="382">
        <v>229.6</v>
      </c>
      <c r="D567" s="382">
        <v>114.3</v>
      </c>
      <c r="E567" s="382">
        <v>100</v>
      </c>
      <c r="F567" s="382">
        <v>95</v>
      </c>
      <c r="G567" s="17">
        <f t="shared" si="64"/>
        <v>2.5587198</v>
      </c>
      <c r="K567" s="59"/>
      <c r="L567" s="20"/>
      <c r="M567" s="20"/>
      <c r="N567" s="20"/>
      <c r="O567" s="20"/>
      <c r="P567" s="20"/>
      <c r="Q567" s="23"/>
      <c r="R567" s="22" t="s">
        <v>16</v>
      </c>
      <c r="S567" s="22" t="s">
        <v>16</v>
      </c>
      <c r="T567" s="20">
        <f t="shared" si="62"/>
        <v>9276.3898530408896</v>
      </c>
      <c r="U567" s="22">
        <v>1</v>
      </c>
    </row>
    <row r="568" spans="1:21">
      <c r="A568" s="363" t="s">
        <v>1556</v>
      </c>
      <c r="B568" s="448" t="s">
        <v>2166</v>
      </c>
      <c r="C568" s="382">
        <v>228.6</v>
      </c>
      <c r="D568" s="382">
        <v>114.3</v>
      </c>
      <c r="E568" s="382">
        <v>100</v>
      </c>
      <c r="F568" s="382">
        <v>90</v>
      </c>
      <c r="G568" s="17">
        <f t="shared" si="64"/>
        <v>2.4822530999999999</v>
      </c>
      <c r="K568" s="59"/>
      <c r="L568" s="20"/>
      <c r="M568" s="20"/>
      <c r="N568" s="20"/>
      <c r="O568" s="20"/>
      <c r="P568" s="20"/>
      <c r="Q568" s="23"/>
      <c r="R568" s="22" t="s">
        <v>16</v>
      </c>
      <c r="S568" s="22" t="s">
        <v>16</v>
      </c>
      <c r="T568" s="20">
        <f t="shared" si="62"/>
        <v>4618.8244173598978</v>
      </c>
      <c r="U568" s="22">
        <v>1</v>
      </c>
    </row>
    <row r="569" spans="1:21">
      <c r="A569" s="363" t="s">
        <v>1530</v>
      </c>
      <c r="B569" s="448" t="s">
        <v>2166</v>
      </c>
      <c r="C569" s="382">
        <v>228.6</v>
      </c>
      <c r="D569" s="382">
        <v>114.3</v>
      </c>
      <c r="E569" s="382">
        <v>101.6</v>
      </c>
      <c r="F569" s="382">
        <v>76.2</v>
      </c>
      <c r="G569" s="17">
        <f t="shared" si="64"/>
        <v>2.3228663220000003</v>
      </c>
      <c r="K569" s="59"/>
      <c r="L569" s="20"/>
      <c r="M569" s="20"/>
      <c r="N569" s="20"/>
      <c r="O569" s="20"/>
      <c r="P569" s="20"/>
      <c r="Q569" s="23"/>
      <c r="R569" s="22" t="s">
        <v>16</v>
      </c>
      <c r="S569" s="22" t="s">
        <v>16</v>
      </c>
      <c r="T569" s="20">
        <f t="shared" si="62"/>
        <v>1849.6478043130269</v>
      </c>
      <c r="U569" s="22">
        <v>1</v>
      </c>
    </row>
    <row r="570" spans="1:21">
      <c r="A570" s="363" t="s">
        <v>1557</v>
      </c>
      <c r="B570" s="448" t="s">
        <v>2166</v>
      </c>
      <c r="C570" s="382">
        <v>228.6</v>
      </c>
      <c r="D570" s="382">
        <v>114.3</v>
      </c>
      <c r="E570" s="382">
        <v>101.6</v>
      </c>
      <c r="F570" s="382">
        <v>69.900000000000006</v>
      </c>
      <c r="G570" s="17">
        <f t="shared" si="64"/>
        <v>2.2405600350000001</v>
      </c>
      <c r="K570" s="59"/>
      <c r="L570" s="20"/>
      <c r="M570" s="20"/>
      <c r="N570" s="20"/>
      <c r="O570" s="20"/>
      <c r="P570" s="20"/>
      <c r="Q570" s="23"/>
      <c r="R570" s="22" t="s">
        <v>16</v>
      </c>
      <c r="S570" s="22" t="s">
        <v>16</v>
      </c>
      <c r="T570" s="20">
        <f t="shared" si="62"/>
        <v>1483.322972204583</v>
      </c>
      <c r="U570" s="22">
        <v>1</v>
      </c>
    </row>
    <row r="571" spans="1:21">
      <c r="A571" s="363" t="s">
        <v>1558</v>
      </c>
      <c r="B571" s="448" t="s">
        <v>2166</v>
      </c>
      <c r="C571" s="382">
        <v>228.6</v>
      </c>
      <c r="D571" s="382">
        <v>114.3</v>
      </c>
      <c r="E571" s="382">
        <v>101.6</v>
      </c>
      <c r="F571" s="382">
        <v>63.5</v>
      </c>
      <c r="G571" s="17">
        <f t="shared" si="64"/>
        <v>2.156947299</v>
      </c>
      <c r="K571" s="59"/>
      <c r="L571" s="20"/>
      <c r="M571" s="20"/>
      <c r="N571" s="20"/>
      <c r="O571" s="20"/>
      <c r="P571" s="20"/>
      <c r="Q571" s="23"/>
      <c r="R571" s="22" t="s">
        <v>16</v>
      </c>
      <c r="S571" s="22" t="s">
        <v>16</v>
      </c>
      <c r="T571" s="20">
        <f t="shared" si="62"/>
        <v>1235.4676037840895</v>
      </c>
      <c r="U571" s="22">
        <v>1</v>
      </c>
    </row>
    <row r="572" spans="1:21">
      <c r="A572" s="363" t="s">
        <v>1534</v>
      </c>
      <c r="B572" s="448" t="s">
        <v>2166</v>
      </c>
      <c r="C572" s="382">
        <v>228.6</v>
      </c>
      <c r="D572" s="382">
        <v>127</v>
      </c>
      <c r="E572" s="382">
        <v>76.2</v>
      </c>
      <c r="F572" s="382">
        <v>69.900000000000006</v>
      </c>
      <c r="G572" s="17">
        <f t="shared" si="64"/>
        <v>2.1208022100000004</v>
      </c>
      <c r="K572" s="59"/>
      <c r="L572" s="20"/>
      <c r="M572" s="20"/>
      <c r="N572" s="20"/>
      <c r="O572" s="20"/>
      <c r="P572" s="20"/>
      <c r="Q572" s="23"/>
      <c r="R572" s="22" t="s">
        <v>16</v>
      </c>
      <c r="S572" s="22" t="s">
        <v>16</v>
      </c>
      <c r="T572" s="20">
        <f t="shared" si="62"/>
        <v>5603.0461502322723</v>
      </c>
      <c r="U572" s="22">
        <v>1</v>
      </c>
    </row>
    <row r="573" spans="1:21">
      <c r="A573" s="363" t="s">
        <v>1537</v>
      </c>
      <c r="B573" s="448" t="s">
        <v>2166</v>
      </c>
      <c r="C573" s="382">
        <v>228.6</v>
      </c>
      <c r="D573" s="382">
        <v>127</v>
      </c>
      <c r="E573" s="382">
        <v>76.2</v>
      </c>
      <c r="F573" s="382">
        <v>63.5</v>
      </c>
      <c r="G573" s="17">
        <f t="shared" si="64"/>
        <v>2.0278991699999995</v>
      </c>
      <c r="K573" s="59"/>
      <c r="L573" s="20"/>
      <c r="M573" s="20"/>
      <c r="N573" s="20"/>
      <c r="O573" s="20"/>
      <c r="P573" s="20"/>
      <c r="Q573" s="23"/>
      <c r="R573" s="22" t="s">
        <v>16</v>
      </c>
      <c r="S573" s="22" t="s">
        <v>16</v>
      </c>
      <c r="T573" s="20">
        <f t="shared" si="62"/>
        <v>2780.2720154689896</v>
      </c>
      <c r="U573" s="22">
        <v>1</v>
      </c>
    </row>
    <row r="574" spans="1:21">
      <c r="A574" s="363" t="s">
        <v>1538</v>
      </c>
      <c r="B574" s="448" t="s">
        <v>2166</v>
      </c>
      <c r="C574" s="382">
        <v>228.6</v>
      </c>
      <c r="D574" s="382">
        <v>127</v>
      </c>
      <c r="E574" s="382">
        <v>76.2</v>
      </c>
      <c r="F574" s="382">
        <v>50.8</v>
      </c>
      <c r="G574" s="17">
        <f t="shared" si="64"/>
        <v>1.8435447</v>
      </c>
      <c r="K574" s="59"/>
      <c r="L574" s="20"/>
      <c r="M574" s="20"/>
      <c r="N574" s="20"/>
      <c r="O574" s="20"/>
      <c r="P574" s="20"/>
      <c r="Q574" s="23"/>
      <c r="R574" s="22" t="s">
        <v>16</v>
      </c>
      <c r="S574" s="22" t="s">
        <v>16</v>
      </c>
      <c r="T574" s="20">
        <f t="shared" si="62"/>
        <v>1391.7427923290995</v>
      </c>
      <c r="U574" s="22">
        <v>1</v>
      </c>
    </row>
    <row r="575" spans="1:21">
      <c r="A575" s="363" t="s">
        <v>1539</v>
      </c>
      <c r="B575" s="448" t="s">
        <v>2166</v>
      </c>
      <c r="C575" s="382">
        <v>228.6</v>
      </c>
      <c r="D575" s="382">
        <v>127</v>
      </c>
      <c r="E575" s="382">
        <v>76.2</v>
      </c>
      <c r="F575" s="382">
        <v>38.1</v>
      </c>
      <c r="G575" s="17">
        <f t="shared" si="64"/>
        <v>1.6591902300000003</v>
      </c>
      <c r="K575" s="59"/>
      <c r="L575" s="20"/>
      <c r="M575" s="20"/>
      <c r="N575" s="20"/>
      <c r="O575" s="20"/>
      <c r="P575" s="20"/>
      <c r="Q575" s="23"/>
      <c r="R575" s="22" t="s">
        <v>16</v>
      </c>
      <c r="S575" s="22" t="s">
        <v>16</v>
      </c>
      <c r="T575" s="20">
        <f t="shared" si="62"/>
        <v>929.61110148276509</v>
      </c>
      <c r="U575" s="22">
        <v>1</v>
      </c>
    </row>
    <row r="576" spans="1:21">
      <c r="A576" s="363" t="s">
        <v>1533</v>
      </c>
      <c r="B576" s="448" t="s">
        <v>2166</v>
      </c>
      <c r="C576" s="382">
        <v>228.6</v>
      </c>
      <c r="D576" s="382">
        <v>127</v>
      </c>
      <c r="E576" s="382">
        <v>100</v>
      </c>
      <c r="F576" s="382">
        <v>95</v>
      </c>
      <c r="G576" s="17">
        <f t="shared" si="64"/>
        <v>2.8306395000000002</v>
      </c>
      <c r="K576" s="59"/>
      <c r="L576" s="20"/>
      <c r="M576" s="20"/>
      <c r="N576" s="20"/>
      <c r="O576" s="20"/>
      <c r="P576" s="20"/>
      <c r="Q576" s="23"/>
      <c r="R576" s="22" t="s">
        <v>16</v>
      </c>
      <c r="S576" s="22" t="s">
        <v>16</v>
      </c>
      <c r="T576" s="20">
        <f t="shared" si="62"/>
        <v>9235.9922582037689</v>
      </c>
      <c r="U576" s="22">
        <v>1</v>
      </c>
    </row>
    <row r="577" spans="1:21">
      <c r="A577" s="363" t="s">
        <v>1536</v>
      </c>
      <c r="B577" s="448" t="s">
        <v>2166</v>
      </c>
      <c r="C577" s="382">
        <v>228.6</v>
      </c>
      <c r="D577" s="382">
        <v>127</v>
      </c>
      <c r="E577" s="382">
        <v>100</v>
      </c>
      <c r="F577" s="382">
        <v>90</v>
      </c>
      <c r="G577" s="17">
        <f t="shared" si="64"/>
        <v>2.7580589999999998</v>
      </c>
      <c r="K577" s="59"/>
      <c r="L577" s="20"/>
      <c r="M577" s="20"/>
      <c r="N577" s="20"/>
      <c r="O577" s="20"/>
      <c r="P577" s="20"/>
      <c r="Q577" s="23"/>
      <c r="R577" s="22" t="s">
        <v>16</v>
      </c>
      <c r="S577" s="22" t="s">
        <v>16</v>
      </c>
      <c r="T577" s="20">
        <f t="shared" si="62"/>
        <v>4618.8244173598978</v>
      </c>
      <c r="U577" s="22">
        <v>1</v>
      </c>
    </row>
    <row r="578" spans="1:21">
      <c r="A578" s="363" t="s">
        <v>1527</v>
      </c>
      <c r="B578" s="448" t="s">
        <v>2166</v>
      </c>
      <c r="C578" s="382">
        <v>228.6</v>
      </c>
      <c r="D578" s="382">
        <v>152.4</v>
      </c>
      <c r="E578" s="382">
        <v>76.2</v>
      </c>
      <c r="F578" s="382">
        <v>73</v>
      </c>
      <c r="G578" s="17">
        <f t="shared" si="64"/>
        <v>2.5989625439999999</v>
      </c>
      <c r="K578" s="59"/>
      <c r="L578" s="20"/>
      <c r="M578" s="20"/>
      <c r="N578" s="20"/>
      <c r="O578" s="20"/>
      <c r="P578" s="20"/>
      <c r="Q578" s="23"/>
      <c r="R578" s="22" t="s">
        <v>16</v>
      </c>
      <c r="S578" s="22" t="s">
        <v>16</v>
      </c>
      <c r="T578" s="20">
        <f t="shared" si="62"/>
        <v>11030.220162920583</v>
      </c>
      <c r="U578" s="22">
        <v>1</v>
      </c>
    </row>
    <row r="579" spans="1:21">
      <c r="A579" s="363" t="s">
        <v>1523</v>
      </c>
      <c r="B579" s="448" t="s">
        <v>2166</v>
      </c>
      <c r="C579" s="382">
        <v>228.6</v>
      </c>
      <c r="D579" s="382">
        <v>152.4</v>
      </c>
      <c r="E579" s="382">
        <v>76.2</v>
      </c>
      <c r="F579" s="382">
        <v>69.900000000000006</v>
      </c>
      <c r="G579" s="17">
        <f t="shared" si="64"/>
        <v>2.5449626520000002</v>
      </c>
      <c r="K579" s="59"/>
      <c r="L579" s="20"/>
      <c r="M579" s="20"/>
      <c r="N579" s="20"/>
      <c r="O579" s="20"/>
      <c r="P579" s="20"/>
      <c r="Q579" s="23"/>
      <c r="R579" s="22" t="s">
        <v>16</v>
      </c>
      <c r="S579" s="22" t="s">
        <v>16</v>
      </c>
      <c r="T579" s="20">
        <f t="shared" si="62"/>
        <v>5603.0461502322723</v>
      </c>
      <c r="U579" s="22">
        <v>1</v>
      </c>
    </row>
    <row r="580" spans="1:21">
      <c r="A580" s="363" t="s">
        <v>1519</v>
      </c>
      <c r="B580" s="448" t="s">
        <v>2166</v>
      </c>
      <c r="C580" s="382">
        <v>228.6</v>
      </c>
      <c r="D580" s="382">
        <v>152.4</v>
      </c>
      <c r="E580" s="382">
        <v>76.2</v>
      </c>
      <c r="F580" s="382">
        <v>63.5</v>
      </c>
      <c r="G580" s="17">
        <f t="shared" si="64"/>
        <v>2.4334790039999996</v>
      </c>
      <c r="K580" s="59"/>
      <c r="L580" s="20"/>
      <c r="M580" s="20"/>
      <c r="N580" s="20"/>
      <c r="O580" s="20"/>
      <c r="P580" s="20"/>
      <c r="Q580" s="23"/>
      <c r="R580" s="22" t="s">
        <v>16</v>
      </c>
      <c r="S580" s="22" t="s">
        <v>16</v>
      </c>
      <c r="T580" s="20">
        <f t="shared" si="62"/>
        <v>2780.2720154689896</v>
      </c>
      <c r="U580" s="22">
        <v>1</v>
      </c>
    </row>
    <row r="581" spans="1:21">
      <c r="A581" s="363" t="s">
        <v>1520</v>
      </c>
      <c r="B581" s="448" t="s">
        <v>2166</v>
      </c>
      <c r="C581" s="382">
        <v>228.6</v>
      </c>
      <c r="D581" s="382">
        <v>152.4</v>
      </c>
      <c r="E581" s="382">
        <v>76.2</v>
      </c>
      <c r="F581" s="382">
        <v>50.8</v>
      </c>
      <c r="G581" s="17">
        <f t="shared" si="64"/>
        <v>2.2122536399999997</v>
      </c>
      <c r="K581" s="59"/>
      <c r="L581" s="20"/>
      <c r="M581" s="20"/>
      <c r="N581" s="20"/>
      <c r="O581" s="20"/>
      <c r="P581" s="20"/>
      <c r="Q581" s="23"/>
      <c r="R581" s="22" t="s">
        <v>16</v>
      </c>
      <c r="S581" s="22" t="s">
        <v>16</v>
      </c>
      <c r="T581" s="20">
        <f t="shared" si="62"/>
        <v>1391.7427923290995</v>
      </c>
      <c r="U581" s="22">
        <v>1</v>
      </c>
    </row>
    <row r="582" spans="1:21">
      <c r="A582" s="363" t="s">
        <v>1532</v>
      </c>
      <c r="B582" s="448" t="s">
        <v>2166</v>
      </c>
      <c r="C582" s="382">
        <v>228.6</v>
      </c>
      <c r="D582" s="382">
        <v>152.4</v>
      </c>
      <c r="E582" s="382">
        <v>76.2</v>
      </c>
      <c r="F582" s="382">
        <v>38.1</v>
      </c>
      <c r="G582" s="17">
        <f t="shared" si="64"/>
        <v>1.9910282760000002</v>
      </c>
      <c r="K582" s="59"/>
      <c r="L582" s="20"/>
      <c r="M582" s="20"/>
      <c r="N582" s="20"/>
      <c r="O582" s="20"/>
      <c r="P582" s="20"/>
      <c r="Q582" s="23"/>
      <c r="R582" s="22" t="s">
        <v>16</v>
      </c>
      <c r="S582" s="22" t="s">
        <v>16</v>
      </c>
      <c r="T582" s="20">
        <f t="shared" si="62"/>
        <v>929.61110148276509</v>
      </c>
      <c r="U582" s="22">
        <v>1</v>
      </c>
    </row>
    <row r="583" spans="1:21">
      <c r="A583" s="363" t="s">
        <v>1531</v>
      </c>
      <c r="B583" s="448" t="s">
        <v>2166</v>
      </c>
      <c r="C583" s="382">
        <v>228.6</v>
      </c>
      <c r="D583" s="382">
        <v>152.4</v>
      </c>
      <c r="E583" s="382">
        <v>88.9</v>
      </c>
      <c r="F583" s="382">
        <v>76.2</v>
      </c>
      <c r="G583" s="17">
        <f t="shared" si="64"/>
        <v>2.8759297320000003</v>
      </c>
      <c r="K583" s="59"/>
      <c r="L583" s="20"/>
      <c r="M583" s="20"/>
      <c r="N583" s="20"/>
      <c r="O583" s="20"/>
      <c r="P583" s="20"/>
      <c r="Q583" s="23"/>
      <c r="R583" s="22" t="s">
        <v>16</v>
      </c>
      <c r="S583" s="22" t="s">
        <v>16</v>
      </c>
      <c r="T583" s="20">
        <f t="shared" si="62"/>
        <v>3237.648370345365</v>
      </c>
      <c r="U583" s="22">
        <v>1</v>
      </c>
    </row>
    <row r="584" spans="1:21">
      <c r="A584" s="363" t="s">
        <v>1551</v>
      </c>
      <c r="B584" s="448" t="s">
        <v>2166</v>
      </c>
      <c r="C584" s="382">
        <v>228.6</v>
      </c>
      <c r="D584" s="382">
        <v>152.4</v>
      </c>
      <c r="E584" s="382">
        <v>88.9</v>
      </c>
      <c r="F584" s="382">
        <v>69.900000000000006</v>
      </c>
      <c r="G584" s="17">
        <f t="shared" si="64"/>
        <v>2.7661880160000001</v>
      </c>
      <c r="K584" s="59"/>
      <c r="L584" s="20"/>
      <c r="M584" s="20"/>
      <c r="N584" s="20"/>
      <c r="O584" s="20"/>
      <c r="P584" s="20"/>
      <c r="Q584" s="23"/>
      <c r="R584" s="22" t="s">
        <v>16</v>
      </c>
      <c r="S584" s="22" t="s">
        <v>16</v>
      </c>
      <c r="T584" s="20">
        <f t="shared" si="62"/>
        <v>2165.1450897935374</v>
      </c>
      <c r="U584" s="22">
        <v>1</v>
      </c>
    </row>
    <row r="585" spans="1:21">
      <c r="A585" s="363" t="s">
        <v>1552</v>
      </c>
      <c r="B585" s="448" t="s">
        <v>2166</v>
      </c>
      <c r="C585" s="382">
        <v>228.6</v>
      </c>
      <c r="D585" s="382">
        <v>152.4</v>
      </c>
      <c r="E585" s="382">
        <v>88.9</v>
      </c>
      <c r="F585" s="382">
        <v>63.5</v>
      </c>
      <c r="G585" s="17">
        <f t="shared" si="64"/>
        <v>2.6547043680000004</v>
      </c>
      <c r="K585" s="59"/>
      <c r="L585" s="20"/>
      <c r="M585" s="20"/>
      <c r="N585" s="20"/>
      <c r="O585" s="20"/>
      <c r="P585" s="20"/>
      <c r="Q585" s="23"/>
      <c r="R585" s="22" t="s">
        <v>16</v>
      </c>
      <c r="S585" s="22" t="s">
        <v>16</v>
      </c>
      <c r="T585" s="20">
        <f t="shared" si="62"/>
        <v>1620.6952983210626</v>
      </c>
      <c r="U585" s="22">
        <v>1</v>
      </c>
    </row>
    <row r="586" spans="1:21">
      <c r="A586" s="363" t="s">
        <v>1555</v>
      </c>
      <c r="B586" s="448" t="s">
        <v>2166</v>
      </c>
      <c r="C586" s="382">
        <v>228.6</v>
      </c>
      <c r="D586" s="382">
        <v>171.5</v>
      </c>
      <c r="E586" s="382">
        <v>76.2</v>
      </c>
      <c r="F586" s="382">
        <v>73</v>
      </c>
      <c r="G586" s="17">
        <f t="shared" si="64"/>
        <v>2.92468554</v>
      </c>
      <c r="K586" s="59"/>
      <c r="L586" s="20"/>
      <c r="M586" s="20"/>
      <c r="N586" s="20"/>
      <c r="O586" s="20"/>
      <c r="P586" s="20"/>
      <c r="Q586" s="23"/>
      <c r="R586" s="22" t="s">
        <v>16</v>
      </c>
      <c r="S586" s="22" t="s">
        <v>16</v>
      </c>
      <c r="T586" s="20">
        <f t="shared" si="62"/>
        <v>11030.220162920583</v>
      </c>
      <c r="U586" s="22">
        <v>1</v>
      </c>
    </row>
    <row r="587" spans="1:21">
      <c r="A587" s="363" t="s">
        <v>1546</v>
      </c>
      <c r="B587" s="448" t="s">
        <v>2166</v>
      </c>
      <c r="C587" s="382">
        <v>228.6</v>
      </c>
      <c r="D587" s="382">
        <v>171.5</v>
      </c>
      <c r="E587" s="382">
        <v>76.2</v>
      </c>
      <c r="F587" s="382">
        <v>69.900000000000006</v>
      </c>
      <c r="G587" s="17">
        <f t="shared" si="64"/>
        <v>2.8639179450000003</v>
      </c>
      <c r="K587" s="59"/>
      <c r="L587" s="20"/>
      <c r="M587" s="20"/>
      <c r="N587" s="20"/>
      <c r="O587" s="20"/>
      <c r="P587" s="20"/>
      <c r="Q587" s="23"/>
      <c r="R587" s="22" t="s">
        <v>16</v>
      </c>
      <c r="S587" s="22" t="s">
        <v>16</v>
      </c>
      <c r="T587" s="20">
        <f t="shared" si="62"/>
        <v>5603.0461502322723</v>
      </c>
      <c r="U587" s="22">
        <v>1</v>
      </c>
    </row>
    <row r="588" spans="1:21">
      <c r="A588" s="363" t="s">
        <v>1548</v>
      </c>
      <c r="B588" s="448" t="s">
        <v>2166</v>
      </c>
      <c r="C588" s="382">
        <v>228.6</v>
      </c>
      <c r="D588" s="382">
        <v>171.5</v>
      </c>
      <c r="E588" s="382">
        <v>76.2</v>
      </c>
      <c r="F588" s="382">
        <v>63.5</v>
      </c>
      <c r="G588" s="17">
        <f t="shared" si="64"/>
        <v>2.7384622649999995</v>
      </c>
      <c r="K588" s="59"/>
      <c r="L588" s="20"/>
      <c r="M588" s="20"/>
      <c r="N588" s="20"/>
      <c r="O588" s="20"/>
      <c r="P588" s="20"/>
      <c r="Q588" s="23"/>
      <c r="R588" s="22" t="s">
        <v>16</v>
      </c>
      <c r="S588" s="22" t="s">
        <v>16</v>
      </c>
      <c r="T588" s="20">
        <f t="shared" si="62"/>
        <v>2780.2720154689896</v>
      </c>
      <c r="U588" s="22">
        <v>1</v>
      </c>
    </row>
    <row r="589" spans="1:21">
      <c r="A589" s="363" t="s">
        <v>1517</v>
      </c>
      <c r="B589" s="448" t="s">
        <v>2166</v>
      </c>
      <c r="C589" s="382">
        <v>228.6</v>
      </c>
      <c r="D589" s="382">
        <v>171.5</v>
      </c>
      <c r="E589" s="382">
        <v>76.2</v>
      </c>
      <c r="F589" s="382">
        <v>50.8</v>
      </c>
      <c r="G589" s="17">
        <f t="shared" si="64"/>
        <v>2.4895111499999998</v>
      </c>
      <c r="K589" s="59"/>
      <c r="L589" s="20"/>
      <c r="M589" s="20"/>
      <c r="N589" s="20"/>
      <c r="O589" s="20"/>
      <c r="P589" s="20"/>
      <c r="Q589" s="23"/>
      <c r="R589" s="22" t="s">
        <v>16</v>
      </c>
      <c r="S589" s="22" t="s">
        <v>16</v>
      </c>
      <c r="T589" s="20">
        <f t="shared" si="62"/>
        <v>1391.7427923290995</v>
      </c>
      <c r="U589" s="22">
        <v>1</v>
      </c>
    </row>
    <row r="590" spans="1:21">
      <c r="A590" s="363" t="s">
        <v>1550</v>
      </c>
      <c r="B590" s="448" t="s">
        <v>2166</v>
      </c>
      <c r="C590" s="382">
        <v>228.6</v>
      </c>
      <c r="D590" s="382">
        <v>171.5</v>
      </c>
      <c r="E590" s="382">
        <v>63.5</v>
      </c>
      <c r="F590" s="382">
        <v>38.1</v>
      </c>
      <c r="G590" s="17">
        <f t="shared" si="64"/>
        <v>1.9916089199999998</v>
      </c>
      <c r="K590" s="59"/>
      <c r="L590" s="20"/>
      <c r="M590" s="20"/>
      <c r="N590" s="20"/>
      <c r="O590" s="20"/>
      <c r="P590" s="20"/>
      <c r="Q590" s="23"/>
      <c r="R590" s="22" t="s">
        <v>16</v>
      </c>
      <c r="S590" s="22" t="s">
        <v>16</v>
      </c>
      <c r="T590" s="20">
        <f t="shared" si="62"/>
        <v>1162.7902863371366</v>
      </c>
      <c r="U590" s="22">
        <v>1</v>
      </c>
    </row>
    <row r="591" spans="1:21">
      <c r="A591" s="363" t="s">
        <v>1545</v>
      </c>
      <c r="B591" s="448" t="s">
        <v>2166</v>
      </c>
      <c r="C591" s="382">
        <v>228.6</v>
      </c>
      <c r="D591" s="382">
        <v>171.5</v>
      </c>
      <c r="E591" s="382">
        <v>100</v>
      </c>
      <c r="F591" s="382">
        <v>90</v>
      </c>
      <c r="G591" s="17">
        <f t="shared" si="64"/>
        <v>3.7244655</v>
      </c>
      <c r="K591" s="59"/>
      <c r="L591" s="20"/>
      <c r="M591" s="20"/>
      <c r="N591" s="20"/>
      <c r="O591" s="20"/>
      <c r="P591" s="20"/>
      <c r="Q591" s="23"/>
      <c r="R591" s="22" t="s">
        <v>16</v>
      </c>
      <c r="S591" s="22" t="s">
        <v>16</v>
      </c>
      <c r="T591" s="20">
        <f t="shared" si="62"/>
        <v>4618.8244173598978</v>
      </c>
      <c r="U591" s="22">
        <v>1</v>
      </c>
    </row>
    <row r="592" spans="1:21">
      <c r="A592" s="363" t="s">
        <v>1528</v>
      </c>
      <c r="B592" s="448" t="s">
        <v>2166</v>
      </c>
      <c r="C592" s="382">
        <v>228.6</v>
      </c>
      <c r="D592" s="382">
        <v>228.6</v>
      </c>
      <c r="E592" s="382">
        <v>76.2</v>
      </c>
      <c r="F592" s="382">
        <v>73</v>
      </c>
      <c r="G592" s="17">
        <f t="shared" si="64"/>
        <v>3.898443815999999</v>
      </c>
      <c r="K592" s="59"/>
      <c r="L592" s="20"/>
      <c r="M592" s="20"/>
      <c r="N592" s="20"/>
      <c r="O592" s="20"/>
      <c r="P592" s="20"/>
      <c r="Q592" s="23"/>
      <c r="R592" s="22" t="s">
        <v>16</v>
      </c>
      <c r="S592" s="22" t="s">
        <v>16</v>
      </c>
      <c r="T592" s="20">
        <f t="shared" si="62"/>
        <v>11030.220162920583</v>
      </c>
      <c r="U592" s="22">
        <v>1</v>
      </c>
    </row>
    <row r="593" spans="1:21">
      <c r="A593" s="363" t="s">
        <v>1524</v>
      </c>
      <c r="B593" s="448" t="s">
        <v>2166</v>
      </c>
      <c r="C593" s="382">
        <v>228.6</v>
      </c>
      <c r="D593" s="382">
        <v>228.6</v>
      </c>
      <c r="E593" s="382">
        <v>76.2</v>
      </c>
      <c r="F593" s="382">
        <v>69.900000000000006</v>
      </c>
      <c r="G593" s="17">
        <f t="shared" si="64"/>
        <v>3.8174439780000005</v>
      </c>
      <c r="K593" s="59"/>
      <c r="L593" s="20"/>
      <c r="M593" s="20"/>
      <c r="N593" s="20"/>
      <c r="O593" s="20"/>
      <c r="P593" s="20"/>
      <c r="Q593" s="23"/>
      <c r="R593" s="22" t="s">
        <v>16</v>
      </c>
      <c r="S593" s="22" t="s">
        <v>16</v>
      </c>
      <c r="T593" s="20">
        <f t="shared" si="62"/>
        <v>5603.0461502322723</v>
      </c>
      <c r="U593" s="22">
        <v>1</v>
      </c>
    </row>
    <row r="594" spans="1:21">
      <c r="A594" s="363" t="s">
        <v>1521</v>
      </c>
      <c r="B594" s="448" t="s">
        <v>2166</v>
      </c>
      <c r="C594" s="382">
        <v>228.6</v>
      </c>
      <c r="D594" s="382">
        <v>228.6</v>
      </c>
      <c r="E594" s="382">
        <v>76.2</v>
      </c>
      <c r="F594" s="382">
        <v>63.5</v>
      </c>
      <c r="G594" s="17">
        <f t="shared" si="64"/>
        <v>3.6502185059999994</v>
      </c>
      <c r="K594" s="59"/>
      <c r="L594" s="20"/>
      <c r="M594" s="20"/>
      <c r="N594" s="20"/>
      <c r="O594" s="20"/>
      <c r="P594" s="20"/>
      <c r="Q594" s="23"/>
      <c r="R594" s="22" t="s">
        <v>16</v>
      </c>
      <c r="S594" s="22" t="s">
        <v>16</v>
      </c>
      <c r="T594" s="20">
        <f t="shared" si="62"/>
        <v>2780.2720154689896</v>
      </c>
      <c r="U594" s="22">
        <v>1</v>
      </c>
    </row>
    <row r="595" spans="1:21">
      <c r="A595" s="363" t="s">
        <v>1522</v>
      </c>
      <c r="B595" s="448" t="s">
        <v>2166</v>
      </c>
      <c r="C595" s="382">
        <v>228.6</v>
      </c>
      <c r="D595" s="382">
        <v>228.6</v>
      </c>
      <c r="E595" s="382">
        <v>76.2</v>
      </c>
      <c r="F595" s="382">
        <v>50.8</v>
      </c>
      <c r="G595" s="17">
        <f t="shared" si="64"/>
        <v>3.3183804599999998</v>
      </c>
      <c r="K595" s="59"/>
      <c r="L595" s="20"/>
      <c r="M595" s="20"/>
      <c r="N595" s="20"/>
      <c r="O595" s="20"/>
      <c r="P595" s="20"/>
      <c r="Q595" s="23"/>
      <c r="R595" s="22" t="s">
        <v>16</v>
      </c>
      <c r="S595" s="22" t="s">
        <v>16</v>
      </c>
      <c r="T595" s="20">
        <f t="shared" si="62"/>
        <v>1391.7427923290995</v>
      </c>
      <c r="U595" s="22">
        <v>1</v>
      </c>
    </row>
    <row r="596" spans="1:21">
      <c r="A596" s="363" t="s">
        <v>1518</v>
      </c>
      <c r="B596" s="448" t="s">
        <v>2166</v>
      </c>
      <c r="C596" s="382">
        <v>228.6</v>
      </c>
      <c r="D596" s="382">
        <v>228.6</v>
      </c>
      <c r="E596" s="382">
        <v>76.2</v>
      </c>
      <c r="F596" s="382">
        <v>25.4</v>
      </c>
      <c r="G596" s="17">
        <f t="shared" si="64"/>
        <v>2.654704368</v>
      </c>
      <c r="K596" s="59"/>
      <c r="L596" s="20"/>
      <c r="M596" s="20"/>
      <c r="N596" s="20"/>
      <c r="O596" s="20"/>
      <c r="P596" s="20"/>
      <c r="Q596" s="23"/>
      <c r="R596" s="22" t="s">
        <v>16</v>
      </c>
      <c r="S596" s="22" t="s">
        <v>16</v>
      </c>
      <c r="T596" s="20">
        <f t="shared" si="62"/>
        <v>699.07573266420854</v>
      </c>
      <c r="U596" s="22">
        <v>1</v>
      </c>
    </row>
    <row r="597" spans="1:21">
      <c r="A597" s="363" t="s">
        <v>1529</v>
      </c>
      <c r="B597" s="448" t="s">
        <v>2166</v>
      </c>
      <c r="C597" s="382">
        <v>228.6</v>
      </c>
      <c r="D597" s="382">
        <v>228.6</v>
      </c>
      <c r="E597" s="382">
        <v>88.9</v>
      </c>
      <c r="F597" s="382">
        <v>76.2</v>
      </c>
      <c r="G597" s="17">
        <f t="shared" si="64"/>
        <v>4.313894598000001</v>
      </c>
      <c r="K597" s="59"/>
      <c r="L597" s="20"/>
      <c r="M597" s="20"/>
      <c r="N597" s="20"/>
      <c r="O597" s="20"/>
      <c r="P597" s="20"/>
      <c r="Q597" s="23"/>
      <c r="R597" s="22" t="s">
        <v>16</v>
      </c>
      <c r="S597" s="22" t="s">
        <v>16</v>
      </c>
      <c r="T597" s="20">
        <f t="shared" si="62"/>
        <v>3237.648370345365</v>
      </c>
      <c r="U597" s="22">
        <v>1</v>
      </c>
    </row>
    <row r="598" spans="1:21">
      <c r="A598" s="363" t="s">
        <v>1559</v>
      </c>
      <c r="B598" s="448" t="s">
        <v>2166</v>
      </c>
      <c r="C598" s="382">
        <v>228.6</v>
      </c>
      <c r="D598" s="382">
        <v>228.6</v>
      </c>
      <c r="E598" s="382">
        <v>88.9</v>
      </c>
      <c r="F598" s="382">
        <v>73</v>
      </c>
      <c r="G598" s="17">
        <f t="shared" si="64"/>
        <v>4.2302818620000009</v>
      </c>
      <c r="K598" s="59"/>
      <c r="L598" s="20"/>
      <c r="M598" s="20"/>
      <c r="N598" s="20"/>
      <c r="O598" s="20"/>
      <c r="P598" s="20"/>
      <c r="Q598" s="23"/>
      <c r="R598" s="22" t="s">
        <v>16</v>
      </c>
      <c r="S598" s="22" t="s">
        <v>16</v>
      </c>
      <c r="T598" s="20">
        <f t="shared" si="62"/>
        <v>2586.6118060211616</v>
      </c>
      <c r="U598" s="22">
        <v>1</v>
      </c>
    </row>
    <row r="599" spans="1:21">
      <c r="A599" s="363" t="s">
        <v>1553</v>
      </c>
      <c r="B599" s="448" t="s">
        <v>2166</v>
      </c>
      <c r="C599" s="382">
        <v>228.6</v>
      </c>
      <c r="D599" s="382">
        <v>228.6</v>
      </c>
      <c r="E599" s="382">
        <v>88.9</v>
      </c>
      <c r="F599" s="382">
        <v>69.900000000000006</v>
      </c>
      <c r="G599" s="17">
        <f t="shared" si="64"/>
        <v>4.1492820239999997</v>
      </c>
      <c r="K599" s="59"/>
      <c r="L599" s="20"/>
      <c r="M599" s="20"/>
      <c r="N599" s="20"/>
      <c r="O599" s="20"/>
      <c r="P599" s="20"/>
      <c r="Q599" s="23"/>
      <c r="R599" s="22" t="s">
        <v>16</v>
      </c>
      <c r="S599" s="22" t="s">
        <v>16</v>
      </c>
      <c r="T599" s="20">
        <f t="shared" si="62"/>
        <v>2165.1450897935374</v>
      </c>
      <c r="U599" s="22">
        <v>1</v>
      </c>
    </row>
    <row r="600" spans="1:21">
      <c r="A600" s="363" t="s">
        <v>1535</v>
      </c>
      <c r="B600" s="448" t="s">
        <v>2166</v>
      </c>
      <c r="C600" s="382">
        <v>228.6</v>
      </c>
      <c r="D600" s="382">
        <v>228.6</v>
      </c>
      <c r="E600" s="382">
        <v>100</v>
      </c>
      <c r="F600" s="382">
        <v>95</v>
      </c>
      <c r="G600" s="17">
        <f t="shared" si="64"/>
        <v>5.0951510999999998</v>
      </c>
      <c r="K600" s="59"/>
      <c r="L600" s="20"/>
      <c r="M600" s="20"/>
      <c r="N600" s="20"/>
      <c r="O600" s="20"/>
      <c r="P600" s="20"/>
      <c r="Q600" s="23"/>
      <c r="R600" s="22" t="s">
        <v>16</v>
      </c>
      <c r="S600" s="22" t="s">
        <v>16</v>
      </c>
      <c r="T600" s="20">
        <f t="shared" si="62"/>
        <v>9235.9922582037689</v>
      </c>
      <c r="U600" s="22">
        <v>1</v>
      </c>
    </row>
    <row r="601" spans="1:21">
      <c r="A601" s="434" t="s">
        <v>1586</v>
      </c>
      <c r="B601" s="449" t="s">
        <v>2166</v>
      </c>
      <c r="C601" s="435">
        <v>304.8</v>
      </c>
      <c r="D601" s="435">
        <v>114.3</v>
      </c>
      <c r="E601" s="435">
        <v>76.2</v>
      </c>
      <c r="F601" s="435">
        <v>73</v>
      </c>
      <c r="G601" s="17">
        <f t="shared" ref="G601:G628" si="65">((E601+F601)/2)*D601*C601/10^6</f>
        <v>2.5989625439999999</v>
      </c>
      <c r="K601" s="59"/>
      <c r="L601" s="20"/>
      <c r="M601" s="20"/>
      <c r="N601" s="20"/>
      <c r="O601" s="20"/>
      <c r="P601" s="20"/>
      <c r="Q601" s="23"/>
      <c r="R601" s="22" t="s">
        <v>16</v>
      </c>
      <c r="S601" s="22" t="s">
        <v>16</v>
      </c>
      <c r="T601" s="20">
        <f t="shared" si="62"/>
        <v>14706.802623276062</v>
      </c>
      <c r="U601" s="22">
        <v>1</v>
      </c>
    </row>
    <row r="602" spans="1:21">
      <c r="A602" s="434" t="s">
        <v>1581</v>
      </c>
      <c r="B602" s="449" t="s">
        <v>2166</v>
      </c>
      <c r="C602" s="435">
        <v>304.8</v>
      </c>
      <c r="D602" s="435">
        <v>114.3</v>
      </c>
      <c r="E602" s="435">
        <v>76.2</v>
      </c>
      <c r="F602" s="435">
        <v>69.900000000000006</v>
      </c>
      <c r="G602" s="17">
        <f t="shared" si="65"/>
        <v>2.5449626520000006</v>
      </c>
      <c r="K602" s="59"/>
      <c r="L602" s="20"/>
      <c r="M602" s="20"/>
      <c r="N602" s="20"/>
      <c r="O602" s="20"/>
      <c r="P602" s="20"/>
      <c r="Q602" s="23"/>
      <c r="R602" s="22" t="s">
        <v>16</v>
      </c>
      <c r="S602" s="22" t="s">
        <v>16</v>
      </c>
      <c r="T602" s="20">
        <f t="shared" si="62"/>
        <v>7470.4179542908732</v>
      </c>
      <c r="U602" s="22">
        <v>1</v>
      </c>
    </row>
    <row r="603" spans="1:21">
      <c r="A603" s="434" t="s">
        <v>1582</v>
      </c>
      <c r="B603" s="449" t="s">
        <v>2166</v>
      </c>
      <c r="C603" s="435">
        <v>304.8</v>
      </c>
      <c r="D603" s="435">
        <v>114.3</v>
      </c>
      <c r="E603" s="435">
        <v>76.2</v>
      </c>
      <c r="F603" s="435">
        <v>63.5</v>
      </c>
      <c r="G603" s="17">
        <f t="shared" si="65"/>
        <v>2.4334790040000001</v>
      </c>
      <c r="K603" s="59"/>
      <c r="L603" s="20"/>
      <c r="M603" s="20"/>
      <c r="N603" s="20"/>
      <c r="O603" s="20"/>
      <c r="P603" s="20"/>
      <c r="Q603" s="23"/>
      <c r="R603" s="22" t="s">
        <v>16</v>
      </c>
      <c r="S603" s="22" t="s">
        <v>16</v>
      </c>
      <c r="T603" s="20">
        <f t="shared" si="62"/>
        <v>3706.404079427929</v>
      </c>
      <c r="U603" s="22">
        <v>1</v>
      </c>
    </row>
    <row r="604" spans="1:21">
      <c r="A604" s="434" t="s">
        <v>1561</v>
      </c>
      <c r="B604" s="449" t="s">
        <v>2166</v>
      </c>
      <c r="C604" s="435">
        <v>304.8</v>
      </c>
      <c r="D604" s="435">
        <v>114.3</v>
      </c>
      <c r="E604" s="435">
        <v>76.2</v>
      </c>
      <c r="F604" s="435">
        <v>50.8</v>
      </c>
      <c r="G604" s="17">
        <f t="shared" si="65"/>
        <v>2.2122536400000001</v>
      </c>
      <c r="K604" s="59"/>
      <c r="L604" s="20"/>
      <c r="M604" s="20"/>
      <c r="N604" s="20"/>
      <c r="O604" s="20"/>
      <c r="P604" s="20"/>
      <c r="Q604" s="23"/>
      <c r="R604" s="22" t="s">
        <v>16</v>
      </c>
      <c r="S604" s="22" t="s">
        <v>16</v>
      </c>
      <c r="T604" s="20">
        <f t="shared" si="62"/>
        <v>1854.40763587729</v>
      </c>
      <c r="U604" s="22">
        <v>1</v>
      </c>
    </row>
    <row r="605" spans="1:21">
      <c r="A605" s="434" t="s">
        <v>1567</v>
      </c>
      <c r="B605" s="449" t="s">
        <v>2166</v>
      </c>
      <c r="C605" s="435">
        <v>304.8</v>
      </c>
      <c r="D605" s="435">
        <v>114.3</v>
      </c>
      <c r="E605" s="435">
        <v>76.2</v>
      </c>
      <c r="F605" s="435">
        <v>25.4</v>
      </c>
      <c r="G605" s="17">
        <f t="shared" si="65"/>
        <v>1.7698029120000001</v>
      </c>
      <c r="K605" s="59"/>
      <c r="L605" s="20"/>
      <c r="M605" s="20"/>
      <c r="N605" s="20"/>
      <c r="O605" s="20"/>
      <c r="P605" s="20"/>
      <c r="Q605" s="23"/>
      <c r="R605" s="22" t="s">
        <v>16</v>
      </c>
      <c r="S605" s="22" t="s">
        <v>16</v>
      </c>
      <c r="T605" s="20">
        <f t="shared" si="62"/>
        <v>929.61110148276509</v>
      </c>
      <c r="U605" s="22">
        <v>1</v>
      </c>
    </row>
    <row r="606" spans="1:21">
      <c r="A606" s="434" t="s">
        <v>1576</v>
      </c>
      <c r="B606" s="449" t="s">
        <v>2166</v>
      </c>
      <c r="C606" s="435">
        <v>304.8</v>
      </c>
      <c r="D606" s="435">
        <v>114.3</v>
      </c>
      <c r="E606" s="435">
        <v>102</v>
      </c>
      <c r="F606" s="435">
        <v>82</v>
      </c>
      <c r="G606" s="17">
        <f t="shared" si="65"/>
        <v>3.2051548800000003</v>
      </c>
      <c r="K606" s="59"/>
      <c r="L606" s="20"/>
      <c r="M606" s="20"/>
      <c r="N606" s="20"/>
      <c r="O606" s="20"/>
      <c r="P606" s="20"/>
      <c r="Q606" s="23"/>
      <c r="R606" s="22" t="s">
        <v>16</v>
      </c>
      <c r="S606" s="22" t="s">
        <v>16</v>
      </c>
      <c r="T606" s="20">
        <f t="shared" si="62"/>
        <v>3141.1291781141376</v>
      </c>
      <c r="U606" s="22">
        <v>1</v>
      </c>
    </row>
    <row r="607" spans="1:21">
      <c r="A607" s="434" t="s">
        <v>1570</v>
      </c>
      <c r="B607" s="449" t="s">
        <v>2166</v>
      </c>
      <c r="C607" s="435">
        <v>304.8</v>
      </c>
      <c r="D607" s="435">
        <v>152.4</v>
      </c>
      <c r="E607" s="435">
        <v>76.2</v>
      </c>
      <c r="F607" s="435">
        <v>73</v>
      </c>
      <c r="G607" s="17">
        <f t="shared" si="65"/>
        <v>3.4652833919999999</v>
      </c>
      <c r="K607" s="59"/>
      <c r="L607" s="20"/>
      <c r="M607" s="20"/>
      <c r="N607" s="20"/>
      <c r="O607" s="20"/>
      <c r="P607" s="20"/>
      <c r="Q607" s="23"/>
      <c r="R607" s="22" t="s">
        <v>16</v>
      </c>
      <c r="S607" s="22" t="s">
        <v>16</v>
      </c>
      <c r="T607" s="20">
        <f t="shared" si="62"/>
        <v>14706.802623276062</v>
      </c>
      <c r="U607" s="22">
        <v>1</v>
      </c>
    </row>
    <row r="608" spans="1:21">
      <c r="A608" s="434" t="s">
        <v>1568</v>
      </c>
      <c r="B608" s="449" t="s">
        <v>2166</v>
      </c>
      <c r="C608" s="435">
        <v>304.8</v>
      </c>
      <c r="D608" s="435">
        <v>152.4</v>
      </c>
      <c r="E608" s="435">
        <v>76.2</v>
      </c>
      <c r="F608" s="435">
        <v>69.900000000000006</v>
      </c>
      <c r="G608" s="17">
        <f t="shared" si="65"/>
        <v>3.3932835360000007</v>
      </c>
      <c r="K608" s="59"/>
      <c r="L608" s="20"/>
      <c r="M608" s="20"/>
      <c r="N608" s="20"/>
      <c r="O608" s="20"/>
      <c r="P608" s="20"/>
      <c r="Q608" s="23"/>
      <c r="R608" s="22" t="s">
        <v>16</v>
      </c>
      <c r="S608" s="22" t="s">
        <v>16</v>
      </c>
      <c r="T608" s="20">
        <f t="shared" si="62"/>
        <v>7470.4179542908732</v>
      </c>
      <c r="U608" s="22">
        <v>1</v>
      </c>
    </row>
    <row r="609" spans="1:21">
      <c r="A609" s="434" t="s">
        <v>1564</v>
      </c>
      <c r="B609" s="449" t="s">
        <v>2166</v>
      </c>
      <c r="C609" s="435">
        <v>304.8</v>
      </c>
      <c r="D609" s="435">
        <v>152.4</v>
      </c>
      <c r="E609" s="435">
        <v>76.2</v>
      </c>
      <c r="F609" s="435">
        <v>63.5</v>
      </c>
      <c r="G609" s="17">
        <f t="shared" si="65"/>
        <v>3.2446386719999998</v>
      </c>
      <c r="K609" s="59"/>
      <c r="L609" s="20"/>
      <c r="M609" s="20"/>
      <c r="N609" s="20"/>
      <c r="O609" s="20"/>
      <c r="P609" s="20"/>
      <c r="Q609" s="23"/>
      <c r="R609" s="22" t="s">
        <v>16</v>
      </c>
      <c r="S609" s="22" t="s">
        <v>16</v>
      </c>
      <c r="T609" s="20">
        <f t="shared" si="62"/>
        <v>3706.404079427929</v>
      </c>
      <c r="U609" s="22">
        <v>1</v>
      </c>
    </row>
    <row r="610" spans="1:21">
      <c r="A610" s="434" t="s">
        <v>1562</v>
      </c>
      <c r="B610" s="449" t="s">
        <v>2166</v>
      </c>
      <c r="C610" s="435">
        <v>304.8</v>
      </c>
      <c r="D610" s="435">
        <v>152.4</v>
      </c>
      <c r="E610" s="435">
        <v>76.2</v>
      </c>
      <c r="F610" s="435">
        <v>50.8</v>
      </c>
      <c r="G610" s="17">
        <f t="shared" si="65"/>
        <v>2.9496715199999999</v>
      </c>
      <c r="K610" s="59"/>
      <c r="L610" s="20"/>
      <c r="M610" s="20"/>
      <c r="N610" s="20"/>
      <c r="O610" s="20"/>
      <c r="P610" s="20"/>
      <c r="Q610" s="23"/>
      <c r="R610" s="22" t="s">
        <v>16</v>
      </c>
      <c r="S610" s="22" t="s">
        <v>16</v>
      </c>
      <c r="T610" s="20">
        <f t="shared" si="62"/>
        <v>1854.40763587729</v>
      </c>
      <c r="U610" s="22">
        <v>1</v>
      </c>
    </row>
    <row r="611" spans="1:21">
      <c r="A611" s="434" t="s">
        <v>1574</v>
      </c>
      <c r="B611" s="449" t="s">
        <v>2166</v>
      </c>
      <c r="C611" s="435">
        <v>304.8</v>
      </c>
      <c r="D611" s="435">
        <v>152.4</v>
      </c>
      <c r="E611" s="435">
        <v>152.4</v>
      </c>
      <c r="F611" s="435">
        <v>127</v>
      </c>
      <c r="G611" s="17">
        <f t="shared" si="65"/>
        <v>6.4892773439999996</v>
      </c>
      <c r="K611" s="59"/>
      <c r="L611" s="20"/>
      <c r="M611" s="20"/>
      <c r="N611" s="20"/>
      <c r="O611" s="20"/>
      <c r="P611" s="20"/>
      <c r="Q611" s="23"/>
      <c r="R611" s="22" t="s">
        <v>16</v>
      </c>
      <c r="S611" s="22" t="s">
        <v>16</v>
      </c>
      <c r="T611" s="20">
        <f t="shared" si="62"/>
        <v>3684.7944474556516</v>
      </c>
      <c r="U611" s="22">
        <v>1</v>
      </c>
    </row>
    <row r="612" spans="1:21">
      <c r="A612" s="434" t="s">
        <v>1578</v>
      </c>
      <c r="B612" s="449" t="s">
        <v>2166</v>
      </c>
      <c r="C612" s="435">
        <v>304.8</v>
      </c>
      <c r="D612" s="435">
        <v>152.4</v>
      </c>
      <c r="E612" s="435">
        <v>102</v>
      </c>
      <c r="F612" s="435">
        <v>82</v>
      </c>
      <c r="G612" s="17">
        <f t="shared" si="65"/>
        <v>4.2735398400000006</v>
      </c>
      <c r="K612" s="59"/>
      <c r="L612" s="20"/>
      <c r="M612" s="20"/>
      <c r="N612" s="20"/>
      <c r="O612" s="20"/>
      <c r="P612" s="20"/>
      <c r="Q612" s="23"/>
      <c r="R612" s="22" t="s">
        <v>16</v>
      </c>
      <c r="S612" s="22" t="s">
        <v>16</v>
      </c>
      <c r="T612" s="20">
        <f t="shared" si="62"/>
        <v>3141.1291781141376</v>
      </c>
      <c r="U612" s="22">
        <v>1</v>
      </c>
    </row>
    <row r="613" spans="1:21">
      <c r="A613" s="434" t="s">
        <v>1584</v>
      </c>
      <c r="B613" s="449" t="s">
        <v>2166</v>
      </c>
      <c r="C613" s="435">
        <v>304.8</v>
      </c>
      <c r="D613" s="435">
        <v>171.5</v>
      </c>
      <c r="E613" s="435">
        <v>76.2</v>
      </c>
      <c r="F613" s="435">
        <v>69.900000000000006</v>
      </c>
      <c r="G613" s="17">
        <f t="shared" si="65"/>
        <v>3.8185572600000008</v>
      </c>
      <c r="K613" s="59"/>
      <c r="L613" s="20"/>
      <c r="M613" s="20"/>
      <c r="N613" s="20"/>
      <c r="O613" s="20"/>
      <c r="P613" s="20"/>
      <c r="Q613" s="23"/>
      <c r="R613" s="22" t="s">
        <v>16</v>
      </c>
      <c r="S613" s="22" t="s">
        <v>16</v>
      </c>
      <c r="T613" s="20">
        <f t="shared" si="62"/>
        <v>7470.4179542908732</v>
      </c>
      <c r="U613" s="22">
        <v>1</v>
      </c>
    </row>
    <row r="614" spans="1:21">
      <c r="A614" s="434" t="s">
        <v>1585</v>
      </c>
      <c r="B614" s="449" t="s">
        <v>2166</v>
      </c>
      <c r="C614" s="435">
        <v>304.8</v>
      </c>
      <c r="D614" s="435">
        <v>171.5</v>
      </c>
      <c r="E614" s="435">
        <v>76.2</v>
      </c>
      <c r="F614" s="435">
        <v>63.5</v>
      </c>
      <c r="G614" s="17">
        <f t="shared" si="65"/>
        <v>3.6512830200000002</v>
      </c>
      <c r="K614" s="59"/>
      <c r="L614" s="20"/>
      <c r="M614" s="20"/>
      <c r="N614" s="20"/>
      <c r="O614" s="20"/>
      <c r="P614" s="20"/>
      <c r="Q614" s="23"/>
      <c r="R614" s="22" t="s">
        <v>16</v>
      </c>
      <c r="S614" s="22" t="s">
        <v>16</v>
      </c>
      <c r="T614" s="20">
        <f t="shared" si="62"/>
        <v>3706.404079427929</v>
      </c>
      <c r="U614" s="22">
        <v>1</v>
      </c>
    </row>
    <row r="615" spans="1:21">
      <c r="A615" s="434" t="s">
        <v>1573</v>
      </c>
      <c r="B615" s="449" t="s">
        <v>2166</v>
      </c>
      <c r="C615" s="435">
        <v>304.8</v>
      </c>
      <c r="D615" s="435">
        <v>171.5</v>
      </c>
      <c r="E615" s="435">
        <v>76.2</v>
      </c>
      <c r="F615" s="435">
        <v>50.8</v>
      </c>
      <c r="G615" s="17">
        <f t="shared" si="65"/>
        <v>3.3193482000000003</v>
      </c>
      <c r="K615" s="59"/>
      <c r="L615" s="20"/>
      <c r="M615" s="20"/>
      <c r="N615" s="20"/>
      <c r="O615" s="20"/>
      <c r="P615" s="20"/>
      <c r="Q615" s="23"/>
      <c r="R615" s="22" t="s">
        <v>16</v>
      </c>
      <c r="S615" s="22" t="s">
        <v>16</v>
      </c>
      <c r="T615" s="20">
        <f t="shared" si="62"/>
        <v>1854.40763587729</v>
      </c>
      <c r="U615" s="22">
        <v>1</v>
      </c>
    </row>
    <row r="616" spans="1:21">
      <c r="A616" s="434" t="s">
        <v>1571</v>
      </c>
      <c r="B616" s="449" t="s">
        <v>2166</v>
      </c>
      <c r="C616" s="435">
        <v>304.8</v>
      </c>
      <c r="D616" s="435">
        <v>228.6</v>
      </c>
      <c r="E616" s="435">
        <v>76.2</v>
      </c>
      <c r="F616" s="435">
        <v>73</v>
      </c>
      <c r="G616" s="17">
        <f t="shared" si="65"/>
        <v>5.1979250879999999</v>
      </c>
      <c r="K616" s="59"/>
      <c r="L616" s="20"/>
      <c r="M616" s="20"/>
      <c r="N616" s="20"/>
      <c r="O616" s="20"/>
      <c r="P616" s="20"/>
      <c r="Q616" s="23"/>
      <c r="R616" s="22" t="s">
        <v>16</v>
      </c>
      <c r="S616" s="22" t="s">
        <v>16</v>
      </c>
      <c r="T616" s="20">
        <f t="shared" ref="T616:T628" si="66">(E616+U616)/2/(SIN(RADIANS((ATAN(((E616+U616)-(F616+U616))/2/C616)*180/PI()))))*2</f>
        <v>14706.802623276062</v>
      </c>
      <c r="U616" s="22">
        <v>1</v>
      </c>
    </row>
    <row r="617" spans="1:21">
      <c r="A617" s="434" t="s">
        <v>1569</v>
      </c>
      <c r="B617" s="449" t="s">
        <v>2166</v>
      </c>
      <c r="C617" s="435">
        <v>304.8</v>
      </c>
      <c r="D617" s="435">
        <v>228.6</v>
      </c>
      <c r="E617" s="435">
        <v>76.2</v>
      </c>
      <c r="F617" s="435">
        <v>69.900000000000006</v>
      </c>
      <c r="G617" s="17">
        <f t="shared" si="65"/>
        <v>5.0899253040000012</v>
      </c>
      <c r="K617" s="59"/>
      <c r="L617" s="20"/>
      <c r="M617" s="20"/>
      <c r="N617" s="20"/>
      <c r="O617" s="20"/>
      <c r="P617" s="20"/>
      <c r="Q617" s="23"/>
      <c r="R617" s="22" t="s">
        <v>16</v>
      </c>
      <c r="S617" s="22" t="s">
        <v>16</v>
      </c>
      <c r="T617" s="20">
        <f t="shared" si="66"/>
        <v>7470.4179542908732</v>
      </c>
      <c r="U617" s="22">
        <v>1</v>
      </c>
    </row>
    <row r="618" spans="1:21">
      <c r="A618" s="434" t="s">
        <v>1565</v>
      </c>
      <c r="B618" s="449" t="s">
        <v>2166</v>
      </c>
      <c r="C618" s="435">
        <v>304.8</v>
      </c>
      <c r="D618" s="435">
        <v>228.6</v>
      </c>
      <c r="E618" s="435">
        <v>76.2</v>
      </c>
      <c r="F618" s="435">
        <v>63.5</v>
      </c>
      <c r="G618" s="17">
        <f t="shared" si="65"/>
        <v>4.8669580080000001</v>
      </c>
      <c r="H618" s="17"/>
      <c r="K618" s="59"/>
      <c r="L618" s="20"/>
      <c r="M618" s="20"/>
      <c r="N618" s="20"/>
      <c r="O618" s="20"/>
      <c r="P618" s="20"/>
      <c r="Q618" s="23"/>
      <c r="R618" s="22" t="s">
        <v>16</v>
      </c>
      <c r="S618" s="22" t="s">
        <v>16</v>
      </c>
      <c r="T618" s="20">
        <f t="shared" si="66"/>
        <v>3706.404079427929</v>
      </c>
      <c r="U618" s="22">
        <v>1</v>
      </c>
    </row>
    <row r="619" spans="1:21">
      <c r="A619" s="434" t="s">
        <v>1563</v>
      </c>
      <c r="B619" s="449" t="s">
        <v>2166</v>
      </c>
      <c r="C619" s="435">
        <v>304.8</v>
      </c>
      <c r="D619" s="435">
        <v>228.6</v>
      </c>
      <c r="E619" s="435">
        <v>76.2</v>
      </c>
      <c r="F619" s="435">
        <v>50.8</v>
      </c>
      <c r="G619" s="17">
        <f t="shared" si="65"/>
        <v>4.4245072800000003</v>
      </c>
      <c r="K619" s="59"/>
      <c r="L619" s="20"/>
      <c r="M619" s="20"/>
      <c r="N619" s="20"/>
      <c r="O619" s="20"/>
      <c r="P619" s="20"/>
      <c r="Q619" s="23"/>
      <c r="R619" s="22" t="s">
        <v>16</v>
      </c>
      <c r="S619" s="22" t="s">
        <v>16</v>
      </c>
      <c r="T619" s="20">
        <f t="shared" si="66"/>
        <v>1854.40763587729</v>
      </c>
      <c r="U619" s="22">
        <v>1</v>
      </c>
    </row>
    <row r="620" spans="1:21">
      <c r="A620" s="434" t="s">
        <v>1580</v>
      </c>
      <c r="B620" s="449" t="s">
        <v>2166</v>
      </c>
      <c r="C620" s="435">
        <v>304.8</v>
      </c>
      <c r="D620" s="435">
        <v>228.6</v>
      </c>
      <c r="E620" s="435">
        <v>76.2</v>
      </c>
      <c r="F620" s="435">
        <v>38.1</v>
      </c>
      <c r="G620" s="17">
        <f t="shared" si="65"/>
        <v>3.9820565520000004</v>
      </c>
      <c r="K620" s="59"/>
      <c r="L620" s="20"/>
      <c r="M620" s="20"/>
      <c r="N620" s="20"/>
      <c r="O620" s="20"/>
      <c r="P620" s="20"/>
      <c r="Q620" s="23"/>
      <c r="R620" s="22" t="s">
        <v>16</v>
      </c>
      <c r="S620" s="22" t="s">
        <v>16</v>
      </c>
      <c r="T620" s="20">
        <f t="shared" si="66"/>
        <v>1237.6101486332439</v>
      </c>
      <c r="U620" s="22">
        <v>1</v>
      </c>
    </row>
    <row r="621" spans="1:21">
      <c r="A621" s="434" t="s">
        <v>1575</v>
      </c>
      <c r="B621" s="449" t="s">
        <v>2166</v>
      </c>
      <c r="C621" s="435">
        <v>304.8</v>
      </c>
      <c r="D621" s="435">
        <v>228.6</v>
      </c>
      <c r="E621" s="435">
        <v>102</v>
      </c>
      <c r="F621" s="435">
        <v>92</v>
      </c>
      <c r="G621" s="17">
        <f t="shared" si="65"/>
        <v>6.7586961600000004</v>
      </c>
      <c r="K621" s="59"/>
      <c r="L621" s="20"/>
      <c r="M621" s="20"/>
      <c r="N621" s="20"/>
      <c r="O621" s="20"/>
      <c r="P621" s="20"/>
      <c r="Q621" s="23"/>
      <c r="R621" s="22" t="s">
        <v>16</v>
      </c>
      <c r="S621" s="22" t="s">
        <v>16</v>
      </c>
      <c r="T621" s="20">
        <f t="shared" si="66"/>
        <v>6279.7247594460705</v>
      </c>
      <c r="U621" s="22">
        <v>1</v>
      </c>
    </row>
    <row r="622" spans="1:21">
      <c r="A622" s="434" t="s">
        <v>1577</v>
      </c>
      <c r="B622" s="449" t="s">
        <v>2166</v>
      </c>
      <c r="C622" s="435">
        <v>304.8</v>
      </c>
      <c r="D622" s="435">
        <v>228.6</v>
      </c>
      <c r="E622" s="435">
        <v>102</v>
      </c>
      <c r="F622" s="435">
        <v>82</v>
      </c>
      <c r="G622" s="17">
        <f t="shared" si="65"/>
        <v>6.4103097600000005</v>
      </c>
      <c r="K622" s="59"/>
      <c r="L622" s="20"/>
      <c r="M622" s="20"/>
      <c r="N622" s="20"/>
      <c r="O622" s="20"/>
      <c r="P622" s="20"/>
      <c r="Q622" s="23"/>
      <c r="R622" s="22" t="s">
        <v>16</v>
      </c>
      <c r="S622" s="22" t="s">
        <v>16</v>
      </c>
      <c r="T622" s="20">
        <f t="shared" si="66"/>
        <v>3141.1291781141376</v>
      </c>
      <c r="U622" s="22">
        <v>1</v>
      </c>
    </row>
    <row r="623" spans="1:21">
      <c r="A623" s="434" t="s">
        <v>1579</v>
      </c>
      <c r="B623" s="449" t="s">
        <v>2166</v>
      </c>
      <c r="C623" s="435">
        <v>304.8</v>
      </c>
      <c r="D623" s="435">
        <v>228.6</v>
      </c>
      <c r="E623" s="435">
        <v>102</v>
      </c>
      <c r="F623" s="435">
        <v>62</v>
      </c>
      <c r="G623" s="17">
        <f t="shared" si="65"/>
        <v>5.7135369600000008</v>
      </c>
      <c r="K623" s="59"/>
      <c r="L623" s="20"/>
      <c r="M623" s="20"/>
      <c r="N623" s="20"/>
      <c r="O623" s="20"/>
      <c r="P623" s="20"/>
      <c r="Q623" s="23"/>
      <c r="R623" s="22" t="s">
        <v>16</v>
      </c>
      <c r="S623" s="22" t="s">
        <v>16</v>
      </c>
      <c r="T623" s="20">
        <f t="shared" si="66"/>
        <v>1573.0956354907355</v>
      </c>
      <c r="U623" s="22">
        <v>1</v>
      </c>
    </row>
    <row r="624" spans="1:21">
      <c r="A624" s="434" t="s">
        <v>1566</v>
      </c>
      <c r="B624" s="449" t="s">
        <v>2166</v>
      </c>
      <c r="C624" s="435">
        <v>304.8</v>
      </c>
      <c r="D624" s="435">
        <v>228.6</v>
      </c>
      <c r="E624" s="435">
        <v>101.6</v>
      </c>
      <c r="F624" s="435">
        <v>76.2</v>
      </c>
      <c r="G624" s="17">
        <f t="shared" si="65"/>
        <v>6.1943101920000005</v>
      </c>
      <c r="K624" s="59"/>
      <c r="L624" s="20"/>
      <c r="M624" s="20"/>
      <c r="N624" s="20"/>
      <c r="O624" s="20"/>
      <c r="P624" s="20"/>
      <c r="Q624" s="23"/>
      <c r="R624" s="22" t="s">
        <v>16</v>
      </c>
      <c r="S624" s="22" t="s">
        <v>16</v>
      </c>
      <c r="T624" s="20">
        <f t="shared" si="66"/>
        <v>2464.5365730700782</v>
      </c>
      <c r="U624" s="22">
        <v>1</v>
      </c>
    </row>
    <row r="625" spans="1:22">
      <c r="A625" s="434" t="s">
        <v>1587</v>
      </c>
      <c r="B625" s="449" t="s">
        <v>2166</v>
      </c>
      <c r="C625" s="435">
        <v>304.8</v>
      </c>
      <c r="D625" s="435">
        <v>304.8</v>
      </c>
      <c r="E625" s="435">
        <v>76.2</v>
      </c>
      <c r="F625" s="435">
        <v>73</v>
      </c>
      <c r="G625" s="17">
        <f t="shared" si="65"/>
        <v>6.9305667839999998</v>
      </c>
      <c r="K625" s="59"/>
      <c r="L625" s="20"/>
      <c r="M625" s="20"/>
      <c r="N625" s="20"/>
      <c r="O625" s="20"/>
      <c r="P625" s="20"/>
      <c r="Q625" s="23"/>
      <c r="R625" s="22" t="s">
        <v>16</v>
      </c>
      <c r="S625" s="22" t="s">
        <v>16</v>
      </c>
      <c r="T625" s="20">
        <f t="shared" si="66"/>
        <v>14706.802623276062</v>
      </c>
      <c r="U625" s="22">
        <v>1</v>
      </c>
    </row>
    <row r="626" spans="1:22">
      <c r="A626" s="434" t="s">
        <v>1588</v>
      </c>
      <c r="B626" s="449" t="s">
        <v>2166</v>
      </c>
      <c r="C626" s="435">
        <v>304.8</v>
      </c>
      <c r="D626" s="435">
        <v>304.8</v>
      </c>
      <c r="E626" s="435">
        <v>76.2</v>
      </c>
      <c r="F626" s="435">
        <v>69.900000000000006</v>
      </c>
      <c r="G626" s="17">
        <f t="shared" si="65"/>
        <v>6.7865670720000013</v>
      </c>
      <c r="K626" s="59"/>
      <c r="L626" s="20"/>
      <c r="M626" s="20"/>
      <c r="N626" s="20"/>
      <c r="O626" s="20"/>
      <c r="P626" s="20"/>
      <c r="Q626" s="23"/>
      <c r="R626" s="22" t="s">
        <v>16</v>
      </c>
      <c r="S626" s="22" t="s">
        <v>16</v>
      </c>
      <c r="T626" s="20">
        <f t="shared" si="66"/>
        <v>7470.4179542908732</v>
      </c>
      <c r="U626" s="22">
        <v>1</v>
      </c>
    </row>
    <row r="627" spans="1:22">
      <c r="A627" s="434" t="s">
        <v>1583</v>
      </c>
      <c r="B627" s="449" t="s">
        <v>2166</v>
      </c>
      <c r="C627" s="435">
        <v>304.8</v>
      </c>
      <c r="D627" s="435">
        <v>304.8</v>
      </c>
      <c r="E627" s="435">
        <v>76.2</v>
      </c>
      <c r="F627" s="435">
        <v>63.5</v>
      </c>
      <c r="G627" s="17">
        <f t="shared" si="65"/>
        <v>6.4892773439999996</v>
      </c>
      <c r="K627" s="59"/>
      <c r="L627" s="20"/>
      <c r="M627" s="20"/>
      <c r="N627" s="20"/>
      <c r="O627" s="20"/>
      <c r="P627" s="20"/>
      <c r="Q627" s="23"/>
      <c r="R627" s="22" t="s">
        <v>16</v>
      </c>
      <c r="S627" s="22" t="s">
        <v>16</v>
      </c>
      <c r="T627" s="20">
        <f t="shared" si="66"/>
        <v>3706.404079427929</v>
      </c>
      <c r="U627" s="22">
        <v>1</v>
      </c>
    </row>
    <row r="628" spans="1:22" ht="13.8" thickBot="1">
      <c r="A628" s="434" t="s">
        <v>1572</v>
      </c>
      <c r="B628" s="449" t="s">
        <v>2166</v>
      </c>
      <c r="C628" s="435">
        <v>304.8</v>
      </c>
      <c r="D628" s="435">
        <v>304.8</v>
      </c>
      <c r="E628" s="435">
        <v>76.2</v>
      </c>
      <c r="F628" s="435">
        <v>50.8</v>
      </c>
      <c r="G628" s="17">
        <f t="shared" si="65"/>
        <v>5.8993430399999998</v>
      </c>
      <c r="K628" s="59"/>
      <c r="L628" s="20"/>
      <c r="M628" s="20"/>
      <c r="N628" s="20"/>
      <c r="O628" s="20"/>
      <c r="P628" s="20"/>
      <c r="Q628" s="23"/>
      <c r="R628" s="22" t="s">
        <v>16</v>
      </c>
      <c r="S628" s="22" t="s">
        <v>16</v>
      </c>
      <c r="T628" s="20">
        <f t="shared" si="66"/>
        <v>1854.40763587729</v>
      </c>
      <c r="U628" s="22">
        <v>1</v>
      </c>
    </row>
    <row r="629" spans="1:22" ht="25.2" thickBot="1">
      <c r="A629" s="64" t="s">
        <v>1590</v>
      </c>
      <c r="B629" s="72"/>
      <c r="C629" s="72"/>
      <c r="D629" s="72"/>
      <c r="E629" s="72"/>
      <c r="F629" s="72"/>
      <c r="G629" s="102"/>
      <c r="H629" s="72"/>
      <c r="I629" s="72"/>
      <c r="J629" s="72"/>
      <c r="K629" s="74"/>
      <c r="L629" s="20"/>
      <c r="M629" s="20"/>
      <c r="N629" s="20"/>
      <c r="O629" s="20"/>
      <c r="P629" s="20"/>
      <c r="Q629" s="21"/>
      <c r="R629" s="22"/>
      <c r="S629" s="22"/>
      <c r="T629" s="20"/>
      <c r="U629" s="22"/>
      <c r="V629" s="20"/>
    </row>
    <row r="630" spans="1:22" s="294" customFormat="1">
      <c r="A630" s="340" t="s">
        <v>1891</v>
      </c>
      <c r="B630" s="349" t="s">
        <v>2167</v>
      </c>
      <c r="C630" s="522">
        <v>171.5</v>
      </c>
      <c r="D630" s="522">
        <v>76.2</v>
      </c>
      <c r="E630" s="522">
        <v>152</v>
      </c>
      <c r="F630" s="522">
        <v>145</v>
      </c>
      <c r="G630" s="345">
        <f t="shared" ref="G630:G693" si="67">((E630+F630)/2)*D630*C630/10^6</f>
        <v>1.94064255</v>
      </c>
      <c r="H630" s="20"/>
      <c r="I630" s="20"/>
      <c r="J630" s="75"/>
      <c r="K630" s="772" t="s">
        <v>643</v>
      </c>
      <c r="L630" s="20"/>
      <c r="M630" s="20"/>
      <c r="N630" s="20"/>
      <c r="O630" s="20"/>
      <c r="P630" s="20"/>
      <c r="Q630" s="23"/>
      <c r="R630" s="22" t="s">
        <v>16</v>
      </c>
      <c r="S630" s="22" t="s">
        <v>16</v>
      </c>
      <c r="T630" s="20">
        <f t="shared" ref="T630:T693" si="68">(E630+U630)/2/(SIN(RADIANS((ATAN(((E630+U630)-(F630+U630))/2/C630)*180/PI()))))*2</f>
        <v>7498.5610619638228</v>
      </c>
      <c r="U630" s="22">
        <v>1</v>
      </c>
      <c r="V630" s="3"/>
    </row>
    <row r="631" spans="1:22" s="294" customFormat="1">
      <c r="A631" s="340" t="s">
        <v>1892</v>
      </c>
      <c r="B631" s="349" t="s">
        <v>2167</v>
      </c>
      <c r="C631" s="522">
        <v>171.5</v>
      </c>
      <c r="D631" s="522">
        <v>76.2</v>
      </c>
      <c r="E631" s="522">
        <v>114.3</v>
      </c>
      <c r="F631" s="522">
        <v>101.6</v>
      </c>
      <c r="G631" s="345">
        <f t="shared" si="67"/>
        <v>1.4107229849999998</v>
      </c>
      <c r="H631" s="20"/>
      <c r="I631" s="20"/>
      <c r="J631" s="75"/>
      <c r="K631" s="773"/>
      <c r="L631" s="20"/>
      <c r="M631" s="20"/>
      <c r="N631" s="20"/>
      <c r="O631" s="20"/>
      <c r="P631" s="20"/>
      <c r="Q631" s="23"/>
      <c r="R631" s="22" t="s">
        <v>16</v>
      </c>
      <c r="S631" s="22" t="s">
        <v>16</v>
      </c>
      <c r="T631" s="20">
        <f t="shared" si="68"/>
        <v>3116.1417056084078</v>
      </c>
      <c r="U631" s="22">
        <v>1</v>
      </c>
      <c r="V631" s="3"/>
    </row>
    <row r="632" spans="1:22" s="294" customFormat="1">
      <c r="A632" s="340" t="s">
        <v>1893</v>
      </c>
      <c r="B632" s="349" t="s">
        <v>2167</v>
      </c>
      <c r="C632" s="522">
        <v>171.5</v>
      </c>
      <c r="D632" s="522">
        <v>76.2</v>
      </c>
      <c r="E632" s="522">
        <v>114.3</v>
      </c>
      <c r="F632" s="522">
        <v>88.9</v>
      </c>
      <c r="G632" s="345">
        <f t="shared" si="67"/>
        <v>1.3277392800000001</v>
      </c>
      <c r="H632" s="20"/>
      <c r="I632" s="20"/>
      <c r="J632" s="75"/>
      <c r="K632" s="773"/>
      <c r="L632" s="20"/>
      <c r="M632" s="20"/>
      <c r="N632" s="20"/>
      <c r="O632" s="20"/>
      <c r="P632" s="20"/>
      <c r="Q632" s="23"/>
      <c r="R632" s="22" t="s">
        <v>16</v>
      </c>
      <c r="S632" s="22" t="s">
        <v>16</v>
      </c>
      <c r="T632" s="20">
        <f t="shared" si="68"/>
        <v>1561.2672256401272</v>
      </c>
      <c r="U632" s="22">
        <v>1</v>
      </c>
      <c r="V632" s="3"/>
    </row>
    <row r="633" spans="1:22" s="294" customFormat="1">
      <c r="A633" s="375" t="s">
        <v>1894</v>
      </c>
      <c r="B633" s="381" t="s">
        <v>2167</v>
      </c>
      <c r="C633" s="523">
        <v>228.6</v>
      </c>
      <c r="D633" s="523">
        <v>76.2</v>
      </c>
      <c r="E633" s="523">
        <v>114.3</v>
      </c>
      <c r="F633" s="523">
        <v>112.7</v>
      </c>
      <c r="G633" s="345">
        <f t="shared" si="67"/>
        <v>1.97709282</v>
      </c>
      <c r="H633" s="20"/>
      <c r="I633" s="20"/>
      <c r="J633" s="75"/>
      <c r="K633" s="773"/>
      <c r="L633" s="20"/>
      <c r="M633" s="20"/>
      <c r="N633" s="20"/>
      <c r="O633" s="20"/>
      <c r="P633" s="20"/>
      <c r="Q633" s="23"/>
      <c r="R633" s="22" t="s">
        <v>16</v>
      </c>
      <c r="S633" s="22" t="s">
        <v>16</v>
      </c>
      <c r="T633" s="20">
        <f t="shared" si="68"/>
        <v>32947.176749163693</v>
      </c>
      <c r="U633" s="22">
        <v>1</v>
      </c>
      <c r="V633" s="3"/>
    </row>
    <row r="634" spans="1:22" s="294" customFormat="1">
      <c r="A634" s="375" t="s">
        <v>1895</v>
      </c>
      <c r="B634" s="381" t="s">
        <v>2167</v>
      </c>
      <c r="C634" s="523">
        <v>228.6</v>
      </c>
      <c r="D634" s="523">
        <v>76.2</v>
      </c>
      <c r="E634" s="523">
        <v>114.3</v>
      </c>
      <c r="F634" s="523">
        <v>109.5</v>
      </c>
      <c r="G634" s="345">
        <f t="shared" si="67"/>
        <v>1.9492219079999999</v>
      </c>
      <c r="H634" s="20"/>
      <c r="I634" s="20"/>
      <c r="J634" s="75"/>
      <c r="K634" s="773"/>
      <c r="L634" s="20"/>
      <c r="M634" s="20"/>
      <c r="N634" s="20"/>
      <c r="O634" s="20"/>
      <c r="P634" s="20"/>
      <c r="Q634" s="23"/>
      <c r="R634" s="22" t="s">
        <v>16</v>
      </c>
      <c r="S634" s="22" t="s">
        <v>16</v>
      </c>
      <c r="T634" s="20">
        <f t="shared" si="68"/>
        <v>10982.93023266674</v>
      </c>
      <c r="U634" s="22">
        <v>1</v>
      </c>
      <c r="V634" s="3"/>
    </row>
    <row r="635" spans="1:22" s="294" customFormat="1">
      <c r="A635" s="375" t="s">
        <v>1896</v>
      </c>
      <c r="B635" s="381" t="s">
        <v>2167</v>
      </c>
      <c r="C635" s="523">
        <v>228.6</v>
      </c>
      <c r="D635" s="523">
        <v>76.2</v>
      </c>
      <c r="E635" s="523">
        <v>114.3</v>
      </c>
      <c r="F635" s="523">
        <v>108</v>
      </c>
      <c r="G635" s="345">
        <f t="shared" si="67"/>
        <v>1.9361574180000003</v>
      </c>
      <c r="H635" s="20"/>
      <c r="I635" s="20"/>
      <c r="J635" s="75"/>
      <c r="K635" s="773"/>
      <c r="L635" s="20"/>
      <c r="M635" s="20"/>
      <c r="N635" s="20"/>
      <c r="O635" s="20"/>
      <c r="P635" s="20"/>
      <c r="Q635" s="23"/>
      <c r="R635" s="22" t="s">
        <v>16</v>
      </c>
      <c r="S635" s="22" t="s">
        <v>16</v>
      </c>
      <c r="T635" s="20">
        <f t="shared" si="68"/>
        <v>8368.2800663443122</v>
      </c>
      <c r="U635" s="22">
        <v>1</v>
      </c>
      <c r="V635" s="3"/>
    </row>
    <row r="636" spans="1:22" s="294" customFormat="1">
      <c r="A636" s="375" t="s">
        <v>1897</v>
      </c>
      <c r="B636" s="381" t="s">
        <v>2167</v>
      </c>
      <c r="C636" s="523">
        <v>228.6</v>
      </c>
      <c r="D636" s="523">
        <v>76.2</v>
      </c>
      <c r="E636" s="523">
        <v>114.3</v>
      </c>
      <c r="F636" s="523">
        <v>101.6</v>
      </c>
      <c r="G636" s="345">
        <f t="shared" si="67"/>
        <v>1.8804155939999998</v>
      </c>
      <c r="H636" s="20"/>
      <c r="I636" s="20"/>
      <c r="J636" s="75"/>
      <c r="K636" s="773"/>
      <c r="L636" s="20"/>
      <c r="M636" s="20"/>
      <c r="N636" s="20"/>
      <c r="O636" s="20"/>
      <c r="P636" s="20"/>
      <c r="Q636" s="23"/>
      <c r="R636" s="22" t="s">
        <v>16</v>
      </c>
      <c r="S636" s="22" t="s">
        <v>16</v>
      </c>
      <c r="T636" s="20">
        <f t="shared" si="68"/>
        <v>4152.401080098115</v>
      </c>
      <c r="U636" s="22">
        <v>1</v>
      </c>
      <c r="V636" s="3"/>
    </row>
    <row r="637" spans="1:22" s="294" customFormat="1">
      <c r="A637" s="375" t="s">
        <v>1898</v>
      </c>
      <c r="B637" s="381" t="s">
        <v>2167</v>
      </c>
      <c r="C637" s="523">
        <v>228.6</v>
      </c>
      <c r="D637" s="523">
        <v>76.2</v>
      </c>
      <c r="E637" s="523">
        <v>114.3</v>
      </c>
      <c r="F637" s="523">
        <v>95.2</v>
      </c>
      <c r="G637" s="345">
        <f t="shared" si="67"/>
        <v>1.82467377</v>
      </c>
      <c r="H637" s="20"/>
      <c r="I637" s="20"/>
      <c r="J637" s="75"/>
      <c r="K637" s="773"/>
      <c r="L637" s="20"/>
      <c r="M637" s="20"/>
      <c r="N637" s="20"/>
      <c r="O637" s="20"/>
      <c r="P637" s="20"/>
      <c r="Q637" s="23"/>
      <c r="R637" s="22" t="s">
        <v>16</v>
      </c>
      <c r="S637" s="22" t="s">
        <v>16</v>
      </c>
      <c r="T637" s="20">
        <f t="shared" si="68"/>
        <v>2762.3633590706809</v>
      </c>
      <c r="U637" s="22">
        <v>1</v>
      </c>
      <c r="V637" s="3"/>
    </row>
    <row r="638" spans="1:22" s="294" customFormat="1">
      <c r="A638" s="375" t="s">
        <v>1899</v>
      </c>
      <c r="B638" s="381" t="s">
        <v>2167</v>
      </c>
      <c r="C638" s="523">
        <v>228.6</v>
      </c>
      <c r="D638" s="523">
        <v>76.2</v>
      </c>
      <c r="E638" s="523">
        <v>114.3</v>
      </c>
      <c r="F638" s="523">
        <v>88.9</v>
      </c>
      <c r="G638" s="345">
        <f t="shared" si="67"/>
        <v>1.7698029120000001</v>
      </c>
      <c r="H638" s="20"/>
      <c r="I638" s="20"/>
      <c r="J638" s="75"/>
      <c r="K638" s="773"/>
      <c r="L638" s="20"/>
      <c r="M638" s="20"/>
      <c r="N638" s="20"/>
      <c r="O638" s="20"/>
      <c r="P638" s="20"/>
      <c r="Q638" s="23"/>
      <c r="R638" s="22" t="s">
        <v>16</v>
      </c>
      <c r="S638" s="22" t="s">
        <v>16</v>
      </c>
      <c r="T638" s="20">
        <f t="shared" si="68"/>
        <v>2078.6003103049902</v>
      </c>
      <c r="U638" s="22">
        <v>1</v>
      </c>
      <c r="V638" s="3"/>
    </row>
    <row r="639" spans="1:22" s="294" customFormat="1">
      <c r="A639" s="375" t="s">
        <v>1900</v>
      </c>
      <c r="B639" s="381" t="s">
        <v>2167</v>
      </c>
      <c r="C639" s="523">
        <v>228.6</v>
      </c>
      <c r="D639" s="523">
        <v>76.2</v>
      </c>
      <c r="E639" s="523">
        <v>114.3</v>
      </c>
      <c r="F639" s="523">
        <v>76.2</v>
      </c>
      <c r="G639" s="345">
        <f t="shared" si="67"/>
        <v>1.6591902299999999</v>
      </c>
      <c r="H639" s="20"/>
      <c r="I639" s="20"/>
      <c r="J639" s="75"/>
      <c r="K639" s="773"/>
      <c r="L639" s="20"/>
      <c r="M639" s="20"/>
      <c r="N639" s="20"/>
      <c r="O639" s="20"/>
      <c r="P639" s="20"/>
      <c r="Q639" s="23"/>
      <c r="R639" s="22" t="s">
        <v>16</v>
      </c>
      <c r="S639" s="22" t="s">
        <v>16</v>
      </c>
      <c r="T639" s="20">
        <f t="shared" si="68"/>
        <v>1388.3958549347517</v>
      </c>
      <c r="U639" s="22">
        <v>1</v>
      </c>
      <c r="V639" s="3"/>
    </row>
    <row r="640" spans="1:22" s="294" customFormat="1">
      <c r="A640" s="375" t="s">
        <v>1901</v>
      </c>
      <c r="B640" s="381" t="s">
        <v>2167</v>
      </c>
      <c r="C640" s="523">
        <v>228.6</v>
      </c>
      <c r="D640" s="523">
        <v>76.2</v>
      </c>
      <c r="E640" s="523">
        <v>114.3</v>
      </c>
      <c r="F640" s="523">
        <v>63.5</v>
      </c>
      <c r="G640" s="345">
        <f t="shared" si="67"/>
        <v>1.5485775479999999</v>
      </c>
      <c r="H640" s="20"/>
      <c r="I640" s="20"/>
      <c r="J640" s="75"/>
      <c r="K640" s="773"/>
      <c r="L640" s="20"/>
      <c r="M640" s="20"/>
      <c r="N640" s="20"/>
      <c r="O640" s="20"/>
      <c r="P640" s="20"/>
      <c r="Q640" s="23"/>
      <c r="R640" s="22" t="s">
        <v>16</v>
      </c>
      <c r="S640" s="22" t="s">
        <v>16</v>
      </c>
      <c r="T640" s="20">
        <f t="shared" si="68"/>
        <v>1044.0859064272443</v>
      </c>
      <c r="U640" s="22">
        <v>1</v>
      </c>
      <c r="V640" s="3"/>
    </row>
    <row r="641" spans="1:22" s="294" customFormat="1">
      <c r="A641" s="375" t="s">
        <v>1902</v>
      </c>
      <c r="B641" s="381" t="s">
        <v>2167</v>
      </c>
      <c r="C641" s="523">
        <v>228.6</v>
      </c>
      <c r="D641" s="523">
        <v>76.2</v>
      </c>
      <c r="E641" s="523">
        <v>114.3</v>
      </c>
      <c r="F641" s="523">
        <v>57.2</v>
      </c>
      <c r="G641" s="345">
        <f t="shared" si="67"/>
        <v>1.4937066900000002</v>
      </c>
      <c r="H641" s="20"/>
      <c r="I641" s="20"/>
      <c r="J641" s="75"/>
      <c r="K641" s="773"/>
      <c r="L641" s="20"/>
      <c r="M641" s="20"/>
      <c r="N641" s="20"/>
      <c r="O641" s="20"/>
      <c r="P641" s="20"/>
      <c r="Q641" s="23"/>
      <c r="R641" s="22" t="s">
        <v>16</v>
      </c>
      <c r="S641" s="22" t="s">
        <v>16</v>
      </c>
      <c r="T641" s="20">
        <f t="shared" si="68"/>
        <v>930.37979234844863</v>
      </c>
      <c r="U641" s="22">
        <v>1</v>
      </c>
      <c r="V641" s="3"/>
    </row>
    <row r="642" spans="1:22" s="294" customFormat="1">
      <c r="A642" s="375" t="s">
        <v>1903</v>
      </c>
      <c r="B642" s="381" t="s">
        <v>2167</v>
      </c>
      <c r="C642" s="523">
        <v>228.6</v>
      </c>
      <c r="D642" s="523">
        <v>76.2</v>
      </c>
      <c r="E642" s="523">
        <v>152.4</v>
      </c>
      <c r="F642" s="523">
        <v>142.80000000000001</v>
      </c>
      <c r="G642" s="345">
        <f t="shared" si="67"/>
        <v>2.5710916320000008</v>
      </c>
      <c r="H642" s="20"/>
      <c r="I642" s="20"/>
      <c r="J642" s="75"/>
      <c r="K642" s="773"/>
      <c r="L642" s="20"/>
      <c r="M642" s="20"/>
      <c r="N642" s="20"/>
      <c r="O642" s="20"/>
      <c r="P642" s="20"/>
      <c r="Q642" s="23"/>
      <c r="R642" s="22" t="s">
        <v>16</v>
      </c>
      <c r="S642" s="22" t="s">
        <v>16</v>
      </c>
      <c r="T642" s="20">
        <f t="shared" si="68"/>
        <v>7307.2853212136906</v>
      </c>
      <c r="U642" s="22">
        <v>1</v>
      </c>
      <c r="V642" s="3"/>
    </row>
    <row r="643" spans="1:22" s="294" customFormat="1">
      <c r="A643" s="375" t="s">
        <v>1904</v>
      </c>
      <c r="B643" s="381" t="s">
        <v>2167</v>
      </c>
      <c r="C643" s="523">
        <v>228.6</v>
      </c>
      <c r="D643" s="523">
        <v>76.2</v>
      </c>
      <c r="E643" s="523">
        <v>152.4</v>
      </c>
      <c r="F643" s="523">
        <v>139.69999999999999</v>
      </c>
      <c r="G643" s="345">
        <f t="shared" si="67"/>
        <v>2.5440916860000002</v>
      </c>
      <c r="H643" s="20"/>
      <c r="I643" s="20"/>
      <c r="J643" s="75"/>
      <c r="K643" s="773"/>
      <c r="L643" s="20"/>
      <c r="M643" s="20"/>
      <c r="N643" s="20"/>
      <c r="O643" s="20"/>
      <c r="P643" s="20"/>
      <c r="Q643" s="23"/>
      <c r="R643" s="22" t="s">
        <v>16</v>
      </c>
      <c r="S643" s="22" t="s">
        <v>16</v>
      </c>
      <c r="T643" s="20">
        <f t="shared" si="68"/>
        <v>5524.5301447272359</v>
      </c>
      <c r="U643" s="22">
        <v>1</v>
      </c>
      <c r="V643" s="3"/>
    </row>
    <row r="644" spans="1:22" s="294" customFormat="1">
      <c r="A644" s="375" t="s">
        <v>1905</v>
      </c>
      <c r="B644" s="381" t="s">
        <v>2167</v>
      </c>
      <c r="C644" s="523">
        <v>228.6</v>
      </c>
      <c r="D644" s="523">
        <v>76.2</v>
      </c>
      <c r="E644" s="523">
        <v>152.4</v>
      </c>
      <c r="F644" s="523">
        <v>137</v>
      </c>
      <c r="G644" s="345">
        <f t="shared" si="67"/>
        <v>2.5205756039999998</v>
      </c>
      <c r="H644" s="20"/>
      <c r="I644" s="20"/>
      <c r="J644" s="75"/>
      <c r="K644" s="773"/>
      <c r="L644" s="20"/>
      <c r="M644" s="20"/>
      <c r="N644" s="20"/>
      <c r="O644" s="20"/>
      <c r="P644" s="20"/>
      <c r="Q644" s="23"/>
      <c r="R644" s="22" t="s">
        <v>16</v>
      </c>
      <c r="S644" s="22" t="s">
        <v>16</v>
      </c>
      <c r="T644" s="20">
        <f t="shared" si="68"/>
        <v>4556.7697889249957</v>
      </c>
      <c r="U644" s="22">
        <v>1</v>
      </c>
      <c r="V644" s="3"/>
    </row>
    <row r="645" spans="1:22" s="294" customFormat="1">
      <c r="A645" s="375" t="s">
        <v>1906</v>
      </c>
      <c r="B645" s="381" t="s">
        <v>2167</v>
      </c>
      <c r="C645" s="523">
        <v>228.6</v>
      </c>
      <c r="D645" s="523">
        <v>76.2</v>
      </c>
      <c r="E645" s="523">
        <v>152.4</v>
      </c>
      <c r="F645" s="523">
        <v>136.5</v>
      </c>
      <c r="G645" s="345">
        <f t="shared" si="67"/>
        <v>2.5162207739999998</v>
      </c>
      <c r="H645" s="20"/>
      <c r="I645" s="20"/>
      <c r="J645" s="75"/>
      <c r="K645" s="773"/>
      <c r="L645" s="20"/>
      <c r="M645" s="20"/>
      <c r="N645" s="20"/>
      <c r="O645" s="20"/>
      <c r="P645" s="20"/>
      <c r="Q645" s="23"/>
      <c r="R645" s="22" t="s">
        <v>16</v>
      </c>
      <c r="S645" s="22" t="s">
        <v>16</v>
      </c>
      <c r="T645" s="20">
        <f t="shared" si="68"/>
        <v>4413.6401673375549</v>
      </c>
      <c r="U645" s="22">
        <v>1</v>
      </c>
      <c r="V645" s="3"/>
    </row>
    <row r="646" spans="1:22" s="294" customFormat="1">
      <c r="A646" s="375" t="s">
        <v>1907</v>
      </c>
      <c r="B646" s="381" t="s">
        <v>2167</v>
      </c>
      <c r="C646" s="523">
        <v>228.6</v>
      </c>
      <c r="D646" s="523">
        <v>76.2</v>
      </c>
      <c r="E646" s="523">
        <v>152.4</v>
      </c>
      <c r="F646" s="523">
        <v>133.4</v>
      </c>
      <c r="G646" s="345">
        <f t="shared" si="67"/>
        <v>2.4892208280000001</v>
      </c>
      <c r="H646" s="20"/>
      <c r="I646" s="20"/>
      <c r="J646" s="75"/>
      <c r="K646" s="773"/>
      <c r="L646" s="20"/>
      <c r="M646" s="20"/>
      <c r="N646" s="20"/>
      <c r="O646" s="20"/>
      <c r="P646" s="20"/>
      <c r="Q646" s="23"/>
      <c r="R646" s="22" t="s">
        <v>16</v>
      </c>
      <c r="S646" s="22" t="s">
        <v>16</v>
      </c>
      <c r="T646" s="20">
        <f t="shared" si="68"/>
        <v>3694.4744913718423</v>
      </c>
      <c r="U646" s="22">
        <v>1</v>
      </c>
      <c r="V646" s="3"/>
    </row>
    <row r="647" spans="1:22" s="294" customFormat="1">
      <c r="A647" s="375" t="s">
        <v>1908</v>
      </c>
      <c r="B647" s="381" t="s">
        <v>2167</v>
      </c>
      <c r="C647" s="523">
        <v>228.6</v>
      </c>
      <c r="D647" s="523">
        <v>76.2</v>
      </c>
      <c r="E647" s="523">
        <v>152.4</v>
      </c>
      <c r="F647" s="523">
        <v>127</v>
      </c>
      <c r="G647" s="345">
        <f t="shared" si="67"/>
        <v>2.4334790039999996</v>
      </c>
      <c r="H647" s="20"/>
      <c r="I647" s="20"/>
      <c r="J647" s="75"/>
      <c r="K647" s="773"/>
      <c r="L647" s="20"/>
      <c r="M647" s="20"/>
      <c r="N647" s="20"/>
      <c r="O647" s="20"/>
      <c r="P647" s="20"/>
      <c r="Q647" s="23"/>
      <c r="R647" s="22" t="s">
        <v>16</v>
      </c>
      <c r="S647" s="22" t="s">
        <v>16</v>
      </c>
      <c r="T647" s="20">
        <f t="shared" si="68"/>
        <v>2765.4578282808789</v>
      </c>
      <c r="U647" s="22">
        <v>1</v>
      </c>
      <c r="V647" s="3"/>
    </row>
    <row r="648" spans="1:22" s="294" customFormat="1">
      <c r="A648" s="375" t="s">
        <v>1909</v>
      </c>
      <c r="B648" s="381" t="s">
        <v>2167</v>
      </c>
      <c r="C648" s="523">
        <v>228.6</v>
      </c>
      <c r="D648" s="523">
        <v>76.2</v>
      </c>
      <c r="E648" s="523">
        <v>152.4</v>
      </c>
      <c r="F648" s="523">
        <v>122.2</v>
      </c>
      <c r="G648" s="345">
        <f t="shared" si="67"/>
        <v>2.3916726360000005</v>
      </c>
      <c r="H648" s="20"/>
      <c r="I648" s="20"/>
      <c r="J648" s="75"/>
      <c r="K648" s="773"/>
      <c r="L648" s="20"/>
      <c r="M648" s="20"/>
      <c r="N648" s="20"/>
      <c r="O648" s="20"/>
      <c r="P648" s="20"/>
      <c r="Q648" s="23"/>
      <c r="R648" s="22" t="s">
        <v>16</v>
      </c>
      <c r="S648" s="22" t="s">
        <v>16</v>
      </c>
      <c r="T648" s="20">
        <f t="shared" si="68"/>
        <v>2327.3946209735823</v>
      </c>
      <c r="U648" s="22">
        <v>1</v>
      </c>
      <c r="V648" s="3"/>
    </row>
    <row r="649" spans="1:22" s="294" customFormat="1">
      <c r="A649" s="375" t="s">
        <v>1910</v>
      </c>
      <c r="B649" s="381" t="s">
        <v>2167</v>
      </c>
      <c r="C649" s="523">
        <v>228.6</v>
      </c>
      <c r="D649" s="523">
        <v>76.2</v>
      </c>
      <c r="E649" s="523">
        <v>152.4</v>
      </c>
      <c r="F649" s="523">
        <v>114.3</v>
      </c>
      <c r="G649" s="345">
        <f t="shared" si="67"/>
        <v>2.3228663220000003</v>
      </c>
      <c r="H649" s="20"/>
      <c r="I649" s="20"/>
      <c r="J649" s="75"/>
      <c r="K649" s="773"/>
      <c r="L649" s="20"/>
      <c r="M649" s="20"/>
      <c r="N649" s="20"/>
      <c r="O649" s="20"/>
      <c r="P649" s="20"/>
      <c r="Q649" s="23"/>
      <c r="R649" s="22" t="s">
        <v>16</v>
      </c>
      <c r="S649" s="22" t="s">
        <v>16</v>
      </c>
      <c r="T649" s="20">
        <f t="shared" si="68"/>
        <v>1847.1806083867375</v>
      </c>
      <c r="U649" s="22">
        <v>1</v>
      </c>
      <c r="V649" s="3"/>
    </row>
    <row r="650" spans="1:22" s="294" customFormat="1">
      <c r="A650" s="375" t="s">
        <v>1911</v>
      </c>
      <c r="B650" s="381" t="s">
        <v>2167</v>
      </c>
      <c r="C650" s="523">
        <v>228.6</v>
      </c>
      <c r="D650" s="523">
        <v>76.2</v>
      </c>
      <c r="E650" s="523">
        <v>152.4</v>
      </c>
      <c r="F650" s="523">
        <v>102.4</v>
      </c>
      <c r="G650" s="345">
        <f t="shared" si="67"/>
        <v>2.2192213680000004</v>
      </c>
      <c r="H650" s="20"/>
      <c r="I650" s="20"/>
      <c r="J650" s="75"/>
      <c r="K650" s="773"/>
      <c r="L650" s="20"/>
      <c r="M650" s="20"/>
      <c r="N650" s="20"/>
      <c r="O650" s="20"/>
      <c r="P650" s="20"/>
      <c r="Q650" s="23"/>
      <c r="R650" s="22" t="s">
        <v>16</v>
      </c>
      <c r="S650" s="22" t="s">
        <v>16</v>
      </c>
      <c r="T650" s="20">
        <f t="shared" si="68"/>
        <v>1411.0526829102305</v>
      </c>
      <c r="U650" s="22">
        <v>1</v>
      </c>
      <c r="V650" s="3"/>
    </row>
    <row r="651" spans="1:22" s="294" customFormat="1">
      <c r="A651" s="375" t="s">
        <v>1912</v>
      </c>
      <c r="B651" s="381" t="s">
        <v>2167</v>
      </c>
      <c r="C651" s="523">
        <v>228.6</v>
      </c>
      <c r="D651" s="523">
        <v>76.2</v>
      </c>
      <c r="E651" s="523">
        <v>152.4</v>
      </c>
      <c r="F651" s="523">
        <v>95.3</v>
      </c>
      <c r="G651" s="345">
        <f t="shared" si="67"/>
        <v>2.157382782</v>
      </c>
      <c r="H651" s="20"/>
      <c r="I651" s="20"/>
      <c r="J651" s="75"/>
      <c r="K651" s="773"/>
      <c r="L651" s="20"/>
      <c r="M651" s="20"/>
      <c r="N651" s="20"/>
      <c r="O651" s="20"/>
      <c r="P651" s="20"/>
      <c r="Q651" s="23"/>
      <c r="R651" s="22" t="s">
        <v>16</v>
      </c>
      <c r="S651" s="22" t="s">
        <v>16</v>
      </c>
      <c r="T651" s="20">
        <f t="shared" si="68"/>
        <v>1237.8166534800691</v>
      </c>
      <c r="U651" s="22">
        <v>1</v>
      </c>
      <c r="V651" s="3"/>
    </row>
    <row r="652" spans="1:22" s="294" customFormat="1">
      <c r="A652" s="375" t="s">
        <v>1913</v>
      </c>
      <c r="B652" s="381" t="s">
        <v>2167</v>
      </c>
      <c r="C652" s="523">
        <v>228.6</v>
      </c>
      <c r="D652" s="523">
        <v>76.2</v>
      </c>
      <c r="E652" s="523">
        <v>152.4</v>
      </c>
      <c r="F652" s="523">
        <v>76.2</v>
      </c>
      <c r="G652" s="345">
        <f t="shared" si="67"/>
        <v>1.9910282760000002</v>
      </c>
      <c r="H652" s="20"/>
      <c r="I652" s="20"/>
      <c r="J652" s="75"/>
      <c r="K652" s="773"/>
      <c r="L652" s="20"/>
      <c r="M652" s="20"/>
      <c r="N652" s="20"/>
      <c r="O652" s="20"/>
      <c r="P652" s="20"/>
      <c r="Q652" s="23"/>
      <c r="R652" s="22" t="s">
        <v>16</v>
      </c>
      <c r="S652" s="22" t="s">
        <v>16</v>
      </c>
      <c r="T652" s="20">
        <f t="shared" si="68"/>
        <v>933.09577214774697</v>
      </c>
      <c r="U652" s="22">
        <v>1</v>
      </c>
      <c r="V652" s="3"/>
    </row>
    <row r="653" spans="1:22" s="294" customFormat="1">
      <c r="A653" s="375" t="s">
        <v>1914</v>
      </c>
      <c r="B653" s="381" t="s">
        <v>2167</v>
      </c>
      <c r="C653" s="523">
        <v>228.6</v>
      </c>
      <c r="D653" s="523">
        <v>101.6</v>
      </c>
      <c r="E653" s="523">
        <v>152.4</v>
      </c>
      <c r="F653" s="523">
        <v>136.5</v>
      </c>
      <c r="G653" s="345">
        <f t="shared" si="67"/>
        <v>3.3549610319999994</v>
      </c>
      <c r="H653" s="20"/>
      <c r="I653" s="20"/>
      <c r="J653" s="75"/>
      <c r="K653" s="773"/>
      <c r="L653" s="20"/>
      <c r="M653" s="20"/>
      <c r="N653" s="20"/>
      <c r="O653" s="20"/>
      <c r="P653" s="20"/>
      <c r="Q653" s="23"/>
      <c r="R653" s="22" t="s">
        <v>16</v>
      </c>
      <c r="S653" s="22" t="s">
        <v>16</v>
      </c>
      <c r="T653" s="20">
        <f t="shared" si="68"/>
        <v>4413.6401673375549</v>
      </c>
      <c r="U653" s="22">
        <v>1</v>
      </c>
      <c r="V653" s="3"/>
    </row>
    <row r="654" spans="1:22" s="294" customFormat="1">
      <c r="A654" s="375" t="s">
        <v>1915</v>
      </c>
      <c r="B654" s="381" t="s">
        <v>2167</v>
      </c>
      <c r="C654" s="523">
        <v>228.6</v>
      </c>
      <c r="D654" s="523">
        <v>101.6</v>
      </c>
      <c r="E654" s="523">
        <v>152.4</v>
      </c>
      <c r="F654" s="523">
        <v>122.2</v>
      </c>
      <c r="G654" s="345">
        <f t="shared" si="67"/>
        <v>3.1888968479999997</v>
      </c>
      <c r="H654" s="20"/>
      <c r="I654" s="20"/>
      <c r="J654" s="75"/>
      <c r="K654" s="773"/>
      <c r="L654" s="20"/>
      <c r="M654" s="20"/>
      <c r="N654" s="20"/>
      <c r="O654" s="20"/>
      <c r="P654" s="20"/>
      <c r="Q654" s="23"/>
      <c r="R654" s="22" t="s">
        <v>16</v>
      </c>
      <c r="S654" s="22" t="s">
        <v>16</v>
      </c>
      <c r="T654" s="20">
        <f t="shared" si="68"/>
        <v>2327.3946209735823</v>
      </c>
      <c r="U654" s="22">
        <v>1</v>
      </c>
      <c r="V654" s="3"/>
    </row>
    <row r="655" spans="1:22" s="294" customFormat="1">
      <c r="A655" s="375" t="s">
        <v>1916</v>
      </c>
      <c r="B655" s="381" t="s">
        <v>2167</v>
      </c>
      <c r="C655" s="523">
        <v>228.6</v>
      </c>
      <c r="D655" s="523">
        <v>101.6</v>
      </c>
      <c r="E655" s="523">
        <v>152.4</v>
      </c>
      <c r="F655" s="523">
        <v>76.2</v>
      </c>
      <c r="G655" s="345">
        <f t="shared" si="67"/>
        <v>2.6547043680000004</v>
      </c>
      <c r="H655" s="20"/>
      <c r="I655" s="20"/>
      <c r="J655" s="75"/>
      <c r="K655" s="773"/>
      <c r="L655" s="20"/>
      <c r="M655" s="20"/>
      <c r="N655" s="20"/>
      <c r="O655" s="20"/>
      <c r="P655" s="20"/>
      <c r="Q655" s="23"/>
      <c r="R655" s="22" t="s">
        <v>16</v>
      </c>
      <c r="S655" s="22" t="s">
        <v>16</v>
      </c>
      <c r="T655" s="20">
        <f t="shared" si="68"/>
        <v>933.09577214774697</v>
      </c>
      <c r="U655" s="22">
        <v>1</v>
      </c>
      <c r="V655" s="3"/>
    </row>
    <row r="656" spans="1:22" s="294" customFormat="1">
      <c r="A656" s="375" t="s">
        <v>1917</v>
      </c>
      <c r="B656" s="381" t="s">
        <v>2167</v>
      </c>
      <c r="C656" s="523">
        <v>228.6</v>
      </c>
      <c r="D656" s="523">
        <v>101.6</v>
      </c>
      <c r="E656" s="523">
        <v>114.3</v>
      </c>
      <c r="F656" s="523">
        <v>101.6</v>
      </c>
      <c r="G656" s="345">
        <f t="shared" si="67"/>
        <v>2.5072207919999996</v>
      </c>
      <c r="H656" s="20"/>
      <c r="I656" s="20"/>
      <c r="J656" s="75"/>
      <c r="K656" s="773"/>
      <c r="L656" s="20"/>
      <c r="M656" s="20"/>
      <c r="N656" s="20"/>
      <c r="O656" s="20"/>
      <c r="P656" s="20"/>
      <c r="Q656" s="23"/>
      <c r="R656" s="22" t="s">
        <v>16</v>
      </c>
      <c r="S656" s="22" t="s">
        <v>16</v>
      </c>
      <c r="T656" s="20">
        <f t="shared" si="68"/>
        <v>4152.401080098115</v>
      </c>
      <c r="U656" s="22">
        <v>1</v>
      </c>
      <c r="V656" s="3"/>
    </row>
    <row r="657" spans="1:22" s="294" customFormat="1">
      <c r="A657" s="383" t="s">
        <v>1918</v>
      </c>
      <c r="B657" s="447" t="s">
        <v>2167</v>
      </c>
      <c r="C657" s="524">
        <v>304.8</v>
      </c>
      <c r="D657" s="524">
        <v>76.2</v>
      </c>
      <c r="E657" s="524">
        <v>152.4</v>
      </c>
      <c r="F657" s="524">
        <v>149.19999999999999</v>
      </c>
      <c r="G657" s="345">
        <f t="shared" si="67"/>
        <v>3.5024446080000007</v>
      </c>
      <c r="H657" s="20"/>
      <c r="I657" s="20"/>
      <c r="J657" s="75"/>
      <c r="K657" s="773"/>
      <c r="L657" s="20"/>
      <c r="M657" s="20"/>
      <c r="N657" s="20"/>
      <c r="O657" s="20"/>
      <c r="P657" s="20"/>
      <c r="Q657" s="23"/>
      <c r="R657" s="22" t="s">
        <v>16</v>
      </c>
      <c r="S657" s="22" t="s">
        <v>16</v>
      </c>
      <c r="T657" s="20">
        <f t="shared" si="68"/>
        <v>29223.102621898157</v>
      </c>
      <c r="U657" s="22">
        <v>1</v>
      </c>
      <c r="V657" s="3"/>
    </row>
    <row r="658" spans="1:22" s="294" customFormat="1">
      <c r="A658" s="383" t="s">
        <v>1919</v>
      </c>
      <c r="B658" s="447" t="s">
        <v>2167</v>
      </c>
      <c r="C658" s="524">
        <v>304.8</v>
      </c>
      <c r="D658" s="524">
        <v>76.2</v>
      </c>
      <c r="E658" s="524">
        <v>152.4</v>
      </c>
      <c r="F658" s="524">
        <v>139.69999999999999</v>
      </c>
      <c r="G658" s="345">
        <f t="shared" si="67"/>
        <v>3.3921222480000006</v>
      </c>
      <c r="H658" s="20"/>
      <c r="I658" s="20"/>
      <c r="J658" s="75"/>
      <c r="K658" s="773"/>
      <c r="L658" s="20"/>
      <c r="M658" s="20"/>
      <c r="N658" s="20"/>
      <c r="O658" s="20"/>
      <c r="P658" s="20"/>
      <c r="Q658" s="23"/>
      <c r="R658" s="22" t="s">
        <v>16</v>
      </c>
      <c r="S658" s="22" t="s">
        <v>16</v>
      </c>
      <c r="T658" s="20">
        <f t="shared" si="68"/>
        <v>7364.79774331922</v>
      </c>
      <c r="U658" s="22">
        <v>1</v>
      </c>
      <c r="V658" s="3"/>
    </row>
    <row r="659" spans="1:22" s="294" customFormat="1">
      <c r="A659" s="383" t="s">
        <v>1920</v>
      </c>
      <c r="B659" s="447" t="s">
        <v>2167</v>
      </c>
      <c r="C659" s="524">
        <v>304.8</v>
      </c>
      <c r="D659" s="524">
        <v>76.2</v>
      </c>
      <c r="E659" s="524">
        <v>152.4</v>
      </c>
      <c r="F659" s="524">
        <v>133.30000000000001</v>
      </c>
      <c r="G659" s="345">
        <f t="shared" si="67"/>
        <v>3.3177998160000004</v>
      </c>
      <c r="H659" s="20"/>
      <c r="I659" s="20"/>
      <c r="J659" s="75"/>
      <c r="K659" s="773"/>
      <c r="L659" s="20"/>
      <c r="M659" s="20"/>
      <c r="N659" s="20"/>
      <c r="O659" s="20"/>
      <c r="P659" s="20"/>
      <c r="Q659" s="23"/>
      <c r="R659" s="22" t="s">
        <v>16</v>
      </c>
      <c r="S659" s="22" t="s">
        <v>16</v>
      </c>
      <c r="T659" s="20">
        <f t="shared" si="68"/>
        <v>4898.3523147253782</v>
      </c>
      <c r="U659" s="22">
        <v>1</v>
      </c>
      <c r="V659" s="3"/>
    </row>
    <row r="660" spans="1:22" s="294" customFormat="1">
      <c r="A660" s="383" t="s">
        <v>1921</v>
      </c>
      <c r="B660" s="447" t="s">
        <v>2167</v>
      </c>
      <c r="C660" s="524">
        <v>304.8</v>
      </c>
      <c r="D660" s="524">
        <v>76.2</v>
      </c>
      <c r="E660" s="524">
        <v>152.4</v>
      </c>
      <c r="F660" s="524">
        <v>130.19999999999999</v>
      </c>
      <c r="G660" s="345">
        <f t="shared" si="67"/>
        <v>3.2817998880000006</v>
      </c>
      <c r="H660" s="20"/>
      <c r="I660" s="20"/>
      <c r="J660" s="75"/>
      <c r="K660" s="773"/>
      <c r="L660" s="20"/>
      <c r="M660" s="20"/>
      <c r="N660" s="20"/>
      <c r="O660" s="20"/>
      <c r="P660" s="20"/>
      <c r="Q660" s="23"/>
      <c r="R660" s="22" t="s">
        <v>16</v>
      </c>
      <c r="S660" s="22" t="s">
        <v>16</v>
      </c>
      <c r="T660" s="20">
        <f t="shared" si="68"/>
        <v>4215.0733642528194</v>
      </c>
      <c r="U660" s="22">
        <v>1</v>
      </c>
      <c r="V660" s="3"/>
    </row>
    <row r="661" spans="1:22" s="294" customFormat="1">
      <c r="A661" s="383" t="s">
        <v>1922</v>
      </c>
      <c r="B661" s="447" t="s">
        <v>2167</v>
      </c>
      <c r="C661" s="524">
        <v>304.8</v>
      </c>
      <c r="D661" s="524">
        <v>76.2</v>
      </c>
      <c r="E661" s="524">
        <v>152.4</v>
      </c>
      <c r="F661" s="524">
        <v>127</v>
      </c>
      <c r="G661" s="345">
        <f t="shared" si="67"/>
        <v>3.2446386719999998</v>
      </c>
      <c r="H661" s="20"/>
      <c r="I661" s="20"/>
      <c r="J661" s="75"/>
      <c r="K661" s="773"/>
      <c r="L661" s="20"/>
      <c r="M661" s="20"/>
      <c r="N661" s="20"/>
      <c r="O661" s="20"/>
      <c r="P661" s="20"/>
      <c r="Q661" s="23"/>
      <c r="R661" s="22" t="s">
        <v>16</v>
      </c>
      <c r="S661" s="22" t="s">
        <v>16</v>
      </c>
      <c r="T661" s="20">
        <f t="shared" si="68"/>
        <v>3684.7944474556516</v>
      </c>
      <c r="U661" s="22">
        <v>1</v>
      </c>
      <c r="V661" s="3"/>
    </row>
    <row r="662" spans="1:22" s="294" customFormat="1">
      <c r="A662" s="383" t="s">
        <v>1923</v>
      </c>
      <c r="B662" s="447" t="s">
        <v>2167</v>
      </c>
      <c r="C662" s="524">
        <v>304.8</v>
      </c>
      <c r="D662" s="524">
        <v>76.2</v>
      </c>
      <c r="E662" s="524">
        <v>152.4</v>
      </c>
      <c r="F662" s="524">
        <v>114.3</v>
      </c>
      <c r="G662" s="345">
        <f t="shared" si="67"/>
        <v>3.0971550960000003</v>
      </c>
      <c r="H662" s="20"/>
      <c r="I662" s="20"/>
      <c r="J662" s="75"/>
      <c r="K662" s="773"/>
      <c r="L662" s="20"/>
      <c r="M662" s="20"/>
      <c r="N662" s="20"/>
      <c r="O662" s="20"/>
      <c r="P662" s="20"/>
      <c r="Q662" s="23"/>
      <c r="R662" s="22" t="s">
        <v>16</v>
      </c>
      <c r="S662" s="22" t="s">
        <v>16</v>
      </c>
      <c r="T662" s="20">
        <f t="shared" si="68"/>
        <v>2459.1890777246058</v>
      </c>
      <c r="U662" s="22">
        <v>1</v>
      </c>
      <c r="V662" s="3"/>
    </row>
    <row r="663" spans="1:22" s="294" customFormat="1">
      <c r="A663" s="383" t="s">
        <v>1924</v>
      </c>
      <c r="B663" s="447" t="s">
        <v>2167</v>
      </c>
      <c r="C663" s="524">
        <v>304.8</v>
      </c>
      <c r="D663" s="524">
        <v>76.2</v>
      </c>
      <c r="E663" s="524">
        <v>152.4</v>
      </c>
      <c r="F663" s="524">
        <v>105.4</v>
      </c>
      <c r="G663" s="345">
        <f t="shared" si="67"/>
        <v>2.993800464</v>
      </c>
      <c r="H663" s="20"/>
      <c r="I663" s="20"/>
      <c r="J663" s="75"/>
      <c r="K663" s="773"/>
      <c r="L663" s="20"/>
      <c r="M663" s="20"/>
      <c r="N663" s="20"/>
      <c r="O663" s="20"/>
      <c r="P663" s="20"/>
      <c r="Q663" s="23"/>
      <c r="R663" s="22" t="s">
        <v>16</v>
      </c>
      <c r="S663" s="22" t="s">
        <v>16</v>
      </c>
      <c r="T663" s="20">
        <f t="shared" si="68"/>
        <v>1995.5354261083914</v>
      </c>
      <c r="U663" s="22">
        <v>1</v>
      </c>
      <c r="V663" s="3"/>
    </row>
    <row r="664" spans="1:22" s="294" customFormat="1">
      <c r="A664" s="383" t="s">
        <v>1925</v>
      </c>
      <c r="B664" s="447" t="s">
        <v>2167</v>
      </c>
      <c r="C664" s="524">
        <v>304.8</v>
      </c>
      <c r="D664" s="524">
        <v>76.2</v>
      </c>
      <c r="E664" s="524">
        <v>152.4</v>
      </c>
      <c r="F664" s="524">
        <v>101.6</v>
      </c>
      <c r="G664" s="345">
        <f t="shared" si="67"/>
        <v>2.9496715199999999</v>
      </c>
      <c r="H664" s="20"/>
      <c r="I664" s="20"/>
      <c r="J664" s="75"/>
      <c r="K664" s="773"/>
      <c r="L664" s="20"/>
      <c r="M664" s="20"/>
      <c r="N664" s="20"/>
      <c r="O664" s="20"/>
      <c r="P664" s="20"/>
      <c r="Q664" s="23"/>
      <c r="R664" s="22" t="s">
        <v>16</v>
      </c>
      <c r="S664" s="22" t="s">
        <v>16</v>
      </c>
      <c r="T664" s="20">
        <f t="shared" si="68"/>
        <v>1847.1806083867377</v>
      </c>
      <c r="U664" s="22">
        <v>1</v>
      </c>
      <c r="V664" s="3"/>
    </row>
    <row r="665" spans="1:22" s="294" customFormat="1">
      <c r="A665" s="383" t="s">
        <v>1926</v>
      </c>
      <c r="B665" s="447" t="s">
        <v>2167</v>
      </c>
      <c r="C665" s="524">
        <v>304.8</v>
      </c>
      <c r="D665" s="524">
        <v>76.2</v>
      </c>
      <c r="E665" s="524">
        <v>152.4</v>
      </c>
      <c r="F665" s="524">
        <v>76.2</v>
      </c>
      <c r="G665" s="345">
        <f t="shared" si="67"/>
        <v>2.6547043680000009</v>
      </c>
      <c r="H665" s="20"/>
      <c r="I665" s="20"/>
      <c r="J665" s="75"/>
      <c r="K665" s="773"/>
      <c r="L665" s="20"/>
      <c r="M665" s="20"/>
      <c r="N665" s="20"/>
      <c r="O665" s="20"/>
      <c r="P665" s="20"/>
      <c r="Q665" s="23"/>
      <c r="R665" s="22" t="s">
        <v>16</v>
      </c>
      <c r="S665" s="22" t="s">
        <v>16</v>
      </c>
      <c r="T665" s="20">
        <f t="shared" si="68"/>
        <v>1236.7503385889977</v>
      </c>
      <c r="U665" s="22">
        <v>1</v>
      </c>
      <c r="V665" s="3"/>
    </row>
    <row r="666" spans="1:22" s="294" customFormat="1">
      <c r="A666" s="363" t="s">
        <v>1927</v>
      </c>
      <c r="B666" s="448" t="s">
        <v>2167</v>
      </c>
      <c r="C666" s="525">
        <v>342.9</v>
      </c>
      <c r="D666" s="526">
        <v>76.2</v>
      </c>
      <c r="E666" s="525">
        <v>152.4</v>
      </c>
      <c r="F666" s="526">
        <v>146.1</v>
      </c>
      <c r="G666" s="345">
        <f t="shared" si="67"/>
        <v>3.8997502649999998</v>
      </c>
      <c r="H666" s="20"/>
      <c r="I666" s="20"/>
      <c r="J666" s="75"/>
      <c r="K666" s="773"/>
      <c r="L666" s="20"/>
      <c r="M666" s="20"/>
      <c r="N666" s="20"/>
      <c r="O666" s="20"/>
      <c r="P666" s="20"/>
      <c r="Q666" s="23"/>
      <c r="R666" s="22" t="s">
        <v>16</v>
      </c>
      <c r="S666" s="22" t="s">
        <v>16</v>
      </c>
      <c r="T666" s="20">
        <f t="shared" si="68"/>
        <v>16699.390292597174</v>
      </c>
      <c r="U666" s="22">
        <v>1</v>
      </c>
      <c r="V666" s="3"/>
    </row>
    <row r="667" spans="1:22" s="294" customFormat="1">
      <c r="A667" s="363" t="s">
        <v>1928</v>
      </c>
      <c r="B667" s="448" t="s">
        <v>2167</v>
      </c>
      <c r="C667" s="525">
        <v>342.9</v>
      </c>
      <c r="D667" s="526">
        <v>76.2</v>
      </c>
      <c r="E667" s="525">
        <v>152.4</v>
      </c>
      <c r="F667" s="526">
        <v>139.69999999999999</v>
      </c>
      <c r="G667" s="345">
        <f t="shared" si="67"/>
        <v>3.8161375290000006</v>
      </c>
      <c r="H667" s="20"/>
      <c r="I667" s="20"/>
      <c r="J667" s="75"/>
      <c r="K667" s="773"/>
      <c r="L667" s="20"/>
      <c r="M667" s="20"/>
      <c r="N667" s="20"/>
      <c r="O667" s="20"/>
      <c r="P667" s="20"/>
      <c r="Q667" s="23"/>
      <c r="R667" s="22" t="s">
        <v>16</v>
      </c>
      <c r="S667" s="22" t="s">
        <v>16</v>
      </c>
      <c r="T667" s="20">
        <f t="shared" si="68"/>
        <v>8285.0202486173694</v>
      </c>
      <c r="U667" s="22">
        <v>1</v>
      </c>
      <c r="V667" s="3"/>
    </row>
    <row r="668" spans="1:22" s="294" customFormat="1">
      <c r="A668" s="363" t="s">
        <v>1929</v>
      </c>
      <c r="B668" s="448" t="s">
        <v>2167</v>
      </c>
      <c r="C668" s="525">
        <v>342.9</v>
      </c>
      <c r="D668" s="526">
        <v>76.2</v>
      </c>
      <c r="E668" s="525">
        <v>152.4</v>
      </c>
      <c r="F668" s="526">
        <v>136.5</v>
      </c>
      <c r="G668" s="345">
        <f t="shared" si="67"/>
        <v>3.7743311609999997</v>
      </c>
      <c r="H668" s="20"/>
      <c r="I668" s="20"/>
      <c r="J668" s="75"/>
      <c r="K668" s="773"/>
      <c r="L668" s="20"/>
      <c r="M668" s="20"/>
      <c r="N668" s="20"/>
      <c r="O668" s="20"/>
      <c r="P668" s="20"/>
      <c r="Q668" s="23"/>
      <c r="R668" s="22" t="s">
        <v>16</v>
      </c>
      <c r="S668" s="22" t="s">
        <v>16</v>
      </c>
      <c r="T668" s="20">
        <f t="shared" si="68"/>
        <v>6618.2383974253171</v>
      </c>
      <c r="U668" s="22">
        <v>1</v>
      </c>
      <c r="V668" s="3"/>
    </row>
    <row r="669" spans="1:22" s="294" customFormat="1">
      <c r="A669" s="363" t="s">
        <v>1930</v>
      </c>
      <c r="B669" s="448" t="s">
        <v>2167</v>
      </c>
      <c r="C669" s="525">
        <v>342.9</v>
      </c>
      <c r="D669" s="526">
        <v>76.2</v>
      </c>
      <c r="E669" s="525">
        <v>152.4</v>
      </c>
      <c r="F669" s="526">
        <v>133.30000000000001</v>
      </c>
      <c r="G669" s="345">
        <f t="shared" si="67"/>
        <v>3.7325247930000005</v>
      </c>
      <c r="H669" s="20"/>
      <c r="I669" s="20"/>
      <c r="J669" s="75"/>
      <c r="K669" s="773"/>
      <c r="L669" s="20"/>
      <c r="M669" s="20"/>
      <c r="N669" s="20"/>
      <c r="O669" s="20"/>
      <c r="P669" s="20"/>
      <c r="Q669" s="23"/>
      <c r="R669" s="22" t="s">
        <v>16</v>
      </c>
      <c r="S669" s="22" t="s">
        <v>16</v>
      </c>
      <c r="T669" s="20">
        <f t="shared" si="68"/>
        <v>5510.0791889914299</v>
      </c>
      <c r="U669" s="22">
        <v>1</v>
      </c>
      <c r="V669" s="3"/>
    </row>
    <row r="670" spans="1:22" s="294" customFormat="1">
      <c r="A670" s="363" t="s">
        <v>1931</v>
      </c>
      <c r="B670" s="448" t="s">
        <v>2167</v>
      </c>
      <c r="C670" s="525">
        <v>342.9</v>
      </c>
      <c r="D670" s="526">
        <v>76.2</v>
      </c>
      <c r="E670" s="525">
        <v>152.4</v>
      </c>
      <c r="F670" s="526">
        <v>131.80000000000001</v>
      </c>
      <c r="G670" s="345">
        <f t="shared" si="67"/>
        <v>3.7129280580000006</v>
      </c>
      <c r="H670" s="20"/>
      <c r="I670" s="20"/>
      <c r="J670" s="75"/>
      <c r="K670" s="773"/>
      <c r="L670" s="20"/>
      <c r="M670" s="20"/>
      <c r="N670" s="20"/>
      <c r="O670" s="20"/>
      <c r="P670" s="20"/>
      <c r="Q670" s="23"/>
      <c r="R670" s="22" t="s">
        <v>16</v>
      </c>
      <c r="S670" s="22" t="s">
        <v>16</v>
      </c>
      <c r="T670" s="20">
        <f t="shared" si="68"/>
        <v>5109.1830000393829</v>
      </c>
      <c r="U670" s="22">
        <v>1</v>
      </c>
      <c r="V670" s="3"/>
    </row>
    <row r="671" spans="1:22" s="294" customFormat="1">
      <c r="A671" s="363" t="s">
        <v>1932</v>
      </c>
      <c r="B671" s="448" t="s">
        <v>2167</v>
      </c>
      <c r="C671" s="525">
        <v>342.9</v>
      </c>
      <c r="D671" s="526">
        <v>76.2</v>
      </c>
      <c r="E671" s="525">
        <v>152.4</v>
      </c>
      <c r="F671" s="526">
        <v>130.19999999999999</v>
      </c>
      <c r="G671" s="345">
        <f t="shared" si="67"/>
        <v>3.6920248740000003</v>
      </c>
      <c r="H671" s="20"/>
      <c r="I671" s="20"/>
      <c r="J671" s="75"/>
      <c r="K671" s="773"/>
      <c r="L671" s="20"/>
      <c r="M671" s="20"/>
      <c r="N671" s="20"/>
      <c r="O671" s="20"/>
      <c r="P671" s="20"/>
      <c r="Q671" s="23"/>
      <c r="R671" s="22" t="s">
        <v>16</v>
      </c>
      <c r="S671" s="22" t="s">
        <v>16</v>
      </c>
      <c r="T671" s="20">
        <f t="shared" si="68"/>
        <v>4741.2984182683267</v>
      </c>
      <c r="U671" s="22">
        <v>1</v>
      </c>
      <c r="V671" s="3"/>
    </row>
    <row r="672" spans="1:22" s="294" customFormat="1">
      <c r="A672" s="363" t="s">
        <v>1933</v>
      </c>
      <c r="B672" s="448" t="s">
        <v>2167</v>
      </c>
      <c r="C672" s="525">
        <v>342.9</v>
      </c>
      <c r="D672" s="526">
        <v>76.2</v>
      </c>
      <c r="E672" s="525">
        <v>152.4</v>
      </c>
      <c r="F672" s="526">
        <v>127</v>
      </c>
      <c r="G672" s="345">
        <f t="shared" si="67"/>
        <v>3.6502185059999994</v>
      </c>
      <c r="H672" s="20"/>
      <c r="I672" s="20"/>
      <c r="J672" s="75"/>
      <c r="K672" s="773"/>
      <c r="L672" s="20"/>
      <c r="M672" s="20"/>
      <c r="N672" s="20"/>
      <c r="O672" s="20"/>
      <c r="P672" s="20"/>
      <c r="Q672" s="23"/>
      <c r="R672" s="22" t="s">
        <v>16</v>
      </c>
      <c r="S672" s="22" t="s">
        <v>16</v>
      </c>
      <c r="T672" s="20">
        <f t="shared" si="68"/>
        <v>4144.6397672174107</v>
      </c>
      <c r="U672" s="22">
        <v>1</v>
      </c>
      <c r="V672" s="3"/>
    </row>
    <row r="673" spans="1:22" s="294" customFormat="1">
      <c r="A673" s="363" t="s">
        <v>1934</v>
      </c>
      <c r="B673" s="448" t="s">
        <v>2167</v>
      </c>
      <c r="C673" s="525">
        <v>342.9</v>
      </c>
      <c r="D673" s="526">
        <v>76.2</v>
      </c>
      <c r="E673" s="525">
        <v>152.4</v>
      </c>
      <c r="F673" s="526">
        <v>114.3</v>
      </c>
      <c r="G673" s="345">
        <f t="shared" si="67"/>
        <v>3.484299483</v>
      </c>
      <c r="H673" s="20"/>
      <c r="I673" s="20"/>
      <c r="J673" s="75"/>
      <c r="K673" s="773"/>
      <c r="L673" s="20"/>
      <c r="M673" s="20"/>
      <c r="N673" s="20"/>
      <c r="O673" s="20"/>
      <c r="P673" s="20"/>
      <c r="Q673" s="23"/>
      <c r="R673" s="22" t="s">
        <v>16</v>
      </c>
      <c r="S673" s="22" t="s">
        <v>16</v>
      </c>
      <c r="T673" s="20">
        <f t="shared" si="68"/>
        <v>2765.4578282808784</v>
      </c>
      <c r="U673" s="22">
        <v>1</v>
      </c>
      <c r="V673" s="3"/>
    </row>
    <row r="674" spans="1:22" s="294" customFormat="1">
      <c r="A674" s="363" t="s">
        <v>1935</v>
      </c>
      <c r="B674" s="448" t="s">
        <v>2167</v>
      </c>
      <c r="C674" s="525">
        <v>342.9</v>
      </c>
      <c r="D674" s="526">
        <v>76.2</v>
      </c>
      <c r="E674" s="525">
        <v>152.4</v>
      </c>
      <c r="F674" s="526">
        <v>111.1</v>
      </c>
      <c r="G674" s="345">
        <f t="shared" si="67"/>
        <v>3.4424931149999995</v>
      </c>
      <c r="H674" s="20"/>
      <c r="I674" s="20"/>
      <c r="J674" s="75"/>
      <c r="K674" s="773"/>
      <c r="L674" s="20"/>
      <c r="M674" s="20"/>
      <c r="N674" s="20"/>
      <c r="O674" s="20"/>
      <c r="P674" s="20"/>
      <c r="Q674" s="23"/>
      <c r="R674" s="22" t="s">
        <v>16</v>
      </c>
      <c r="S674" s="22" t="s">
        <v>16</v>
      </c>
      <c r="T674" s="20">
        <f t="shared" si="68"/>
        <v>2551.8719622733288</v>
      </c>
      <c r="U674" s="22">
        <v>1</v>
      </c>
      <c r="V674" s="3"/>
    </row>
    <row r="675" spans="1:22" s="294" customFormat="1">
      <c r="A675" s="363" t="s">
        <v>1936</v>
      </c>
      <c r="B675" s="448" t="s">
        <v>2167</v>
      </c>
      <c r="C675" s="525">
        <v>342.9</v>
      </c>
      <c r="D675" s="526">
        <v>76.2</v>
      </c>
      <c r="E675" s="525">
        <v>152.4</v>
      </c>
      <c r="F675" s="526">
        <v>101.6</v>
      </c>
      <c r="G675" s="345">
        <f t="shared" si="67"/>
        <v>3.3183804599999993</v>
      </c>
      <c r="H675" s="20"/>
      <c r="I675" s="20"/>
      <c r="J675" s="75"/>
      <c r="K675" s="773"/>
      <c r="L675" s="20"/>
      <c r="M675" s="20"/>
      <c r="N675" s="20"/>
      <c r="O675" s="20"/>
      <c r="P675" s="20"/>
      <c r="Q675" s="23"/>
      <c r="R675" s="22" t="s">
        <v>16</v>
      </c>
      <c r="S675" s="22" t="s">
        <v>16</v>
      </c>
      <c r="T675" s="20">
        <f t="shared" si="68"/>
        <v>2076.5737092624472</v>
      </c>
      <c r="U675" s="22">
        <v>1</v>
      </c>
      <c r="V675" s="3"/>
    </row>
    <row r="676" spans="1:22" s="294" customFormat="1">
      <c r="A676" s="363" t="s">
        <v>1937</v>
      </c>
      <c r="B676" s="448" t="s">
        <v>2167</v>
      </c>
      <c r="C676" s="525">
        <v>342.9</v>
      </c>
      <c r="D676" s="526">
        <v>76.2</v>
      </c>
      <c r="E676" s="525">
        <v>152.4</v>
      </c>
      <c r="F676" s="526">
        <v>95.2</v>
      </c>
      <c r="G676" s="345">
        <f t="shared" si="67"/>
        <v>3.2347677240000006</v>
      </c>
      <c r="H676" s="20"/>
      <c r="I676" s="20"/>
      <c r="J676" s="75"/>
      <c r="K676" s="773"/>
      <c r="L676" s="20"/>
      <c r="M676" s="20"/>
      <c r="N676" s="20"/>
      <c r="O676" s="20"/>
      <c r="P676" s="20"/>
      <c r="Q676" s="23"/>
      <c r="R676" s="22" t="s">
        <v>16</v>
      </c>
      <c r="S676" s="22" t="s">
        <v>16</v>
      </c>
      <c r="T676" s="20">
        <f t="shared" si="68"/>
        <v>1845.5770805042644</v>
      </c>
      <c r="U676" s="22">
        <v>1</v>
      </c>
      <c r="V676" s="3"/>
    </row>
    <row r="677" spans="1:22" s="294" customFormat="1">
      <c r="A677" s="363" t="s">
        <v>1938</v>
      </c>
      <c r="B677" s="448" t="s">
        <v>2167</v>
      </c>
      <c r="C677" s="525">
        <v>342.9</v>
      </c>
      <c r="D677" s="526">
        <v>76.2</v>
      </c>
      <c r="E677" s="525">
        <v>152.4</v>
      </c>
      <c r="F677" s="526">
        <v>88.9</v>
      </c>
      <c r="G677" s="345">
        <f t="shared" si="67"/>
        <v>3.1524614369999999</v>
      </c>
      <c r="H677" s="20"/>
      <c r="I677" s="20"/>
      <c r="J677" s="75"/>
      <c r="K677" s="773"/>
      <c r="L677" s="20"/>
      <c r="M677" s="20"/>
      <c r="N677" s="20"/>
      <c r="O677" s="20"/>
      <c r="P677" s="20"/>
      <c r="Q677" s="23"/>
      <c r="R677" s="22" t="s">
        <v>16</v>
      </c>
      <c r="S677" s="22" t="s">
        <v>16</v>
      </c>
      <c r="T677" s="20">
        <f t="shared" si="68"/>
        <v>1663.8066950219909</v>
      </c>
      <c r="U677" s="22">
        <v>1</v>
      </c>
      <c r="V677" s="3"/>
    </row>
    <row r="678" spans="1:22" s="294" customFormat="1">
      <c r="A678" s="363" t="s">
        <v>1939</v>
      </c>
      <c r="B678" s="448" t="s">
        <v>2167</v>
      </c>
      <c r="C678" s="525">
        <v>342.9</v>
      </c>
      <c r="D678" s="526">
        <v>76.2</v>
      </c>
      <c r="E678" s="525">
        <v>152.4</v>
      </c>
      <c r="F678" s="526">
        <v>76.2</v>
      </c>
      <c r="G678" s="345">
        <f t="shared" si="67"/>
        <v>2.9865424140000005</v>
      </c>
      <c r="H678" s="20"/>
      <c r="I678" s="20"/>
      <c r="J678" s="75"/>
      <c r="K678" s="773"/>
      <c r="L678" s="20"/>
      <c r="M678" s="20"/>
      <c r="N678" s="20"/>
      <c r="O678" s="20"/>
      <c r="P678" s="20"/>
      <c r="Q678" s="23"/>
      <c r="R678" s="22" t="s">
        <v>16</v>
      </c>
      <c r="S678" s="22" t="s">
        <v>16</v>
      </c>
      <c r="T678" s="20">
        <f t="shared" si="68"/>
        <v>1389.0960801902797</v>
      </c>
      <c r="U678" s="22">
        <v>1</v>
      </c>
      <c r="V678" s="3"/>
    </row>
    <row r="679" spans="1:22" s="294" customFormat="1">
      <c r="A679" s="363" t="s">
        <v>1940</v>
      </c>
      <c r="B679" s="448" t="s">
        <v>2167</v>
      </c>
      <c r="C679" s="525">
        <v>342.9</v>
      </c>
      <c r="D679" s="526">
        <v>101.6</v>
      </c>
      <c r="E679" s="525">
        <v>152.4</v>
      </c>
      <c r="F679" s="526">
        <v>127</v>
      </c>
      <c r="G679" s="345">
        <f t="shared" si="67"/>
        <v>4.8669580079999992</v>
      </c>
      <c r="H679" s="20"/>
      <c r="I679" s="20"/>
      <c r="J679" s="75"/>
      <c r="K679" s="773"/>
      <c r="L679" s="20"/>
      <c r="M679" s="20"/>
      <c r="N679" s="20"/>
      <c r="O679" s="20"/>
      <c r="P679" s="20"/>
      <c r="Q679" s="23"/>
      <c r="R679" s="22" t="s">
        <v>16</v>
      </c>
      <c r="S679" s="22" t="s">
        <v>16</v>
      </c>
      <c r="T679" s="20">
        <f t="shared" si="68"/>
        <v>4144.6397672174107</v>
      </c>
      <c r="U679" s="22">
        <v>1</v>
      </c>
      <c r="V679" s="3"/>
    </row>
    <row r="680" spans="1:22" s="294" customFormat="1">
      <c r="A680" s="434" t="s">
        <v>1941</v>
      </c>
      <c r="B680" s="449" t="s">
        <v>2167</v>
      </c>
      <c r="C680" s="527">
        <v>381</v>
      </c>
      <c r="D680" s="527">
        <v>76.2</v>
      </c>
      <c r="E680" s="527">
        <v>152.4</v>
      </c>
      <c r="F680" s="527">
        <v>146.1</v>
      </c>
      <c r="G680" s="345">
        <f t="shared" si="67"/>
        <v>4.3330558500000009</v>
      </c>
      <c r="H680" s="20"/>
      <c r="I680" s="20"/>
      <c r="J680" s="75"/>
      <c r="K680" s="773"/>
      <c r="L680" s="20"/>
      <c r="M680" s="20"/>
      <c r="N680" s="20"/>
      <c r="O680" s="20"/>
      <c r="P680" s="20"/>
      <c r="Q680" s="23"/>
      <c r="R680" s="22" t="s">
        <v>16</v>
      </c>
      <c r="S680" s="22" t="s">
        <v>16</v>
      </c>
      <c r="T680" s="20">
        <f t="shared" si="68"/>
        <v>18554.729361117264</v>
      </c>
      <c r="U680" s="22">
        <v>1</v>
      </c>
      <c r="V680" s="3"/>
    </row>
    <row r="681" spans="1:22" s="294" customFormat="1">
      <c r="A681" s="434" t="s">
        <v>1942</v>
      </c>
      <c r="B681" s="449" t="s">
        <v>2167</v>
      </c>
      <c r="C681" s="527">
        <v>381</v>
      </c>
      <c r="D681" s="527">
        <v>76.2</v>
      </c>
      <c r="E681" s="527">
        <v>152.4</v>
      </c>
      <c r="F681" s="527">
        <v>139.69999999999999</v>
      </c>
      <c r="G681" s="345">
        <f t="shared" si="67"/>
        <v>4.2401528100000005</v>
      </c>
      <c r="H681" s="20"/>
      <c r="I681" s="20"/>
      <c r="J681" s="75"/>
      <c r="K681" s="773"/>
      <c r="L681" s="20"/>
      <c r="M681" s="20"/>
      <c r="N681" s="20"/>
      <c r="O681" s="20"/>
      <c r="P681" s="20"/>
      <c r="Q681" s="23"/>
      <c r="R681" s="22" t="s">
        <v>16</v>
      </c>
      <c r="S681" s="22" t="s">
        <v>16</v>
      </c>
      <c r="T681" s="20">
        <f t="shared" si="68"/>
        <v>9205.2782445725006</v>
      </c>
      <c r="U681" s="22">
        <v>1</v>
      </c>
      <c r="V681" s="3"/>
    </row>
    <row r="682" spans="1:22" s="294" customFormat="1">
      <c r="A682" s="434" t="s">
        <v>1943</v>
      </c>
      <c r="B682" s="449" t="s">
        <v>2167</v>
      </c>
      <c r="C682" s="527">
        <v>381</v>
      </c>
      <c r="D682" s="527">
        <v>76.2</v>
      </c>
      <c r="E682" s="527">
        <v>152.4</v>
      </c>
      <c r="F682" s="527">
        <v>136.5</v>
      </c>
      <c r="G682" s="345">
        <f t="shared" si="67"/>
        <v>4.1937012899999999</v>
      </c>
      <c r="H682" s="20"/>
      <c r="I682" s="20"/>
      <c r="J682" s="75"/>
      <c r="K682" s="773"/>
      <c r="L682" s="20"/>
      <c r="M682" s="20"/>
      <c r="N682" s="20"/>
      <c r="O682" s="20"/>
      <c r="P682" s="20"/>
      <c r="Q682" s="23"/>
      <c r="R682" s="22" t="s">
        <v>16</v>
      </c>
      <c r="S682" s="22" t="s">
        <v>16</v>
      </c>
      <c r="T682" s="20">
        <f t="shared" si="68"/>
        <v>7353.2229004127239</v>
      </c>
      <c r="U682" s="22">
        <v>1</v>
      </c>
      <c r="V682" s="3"/>
    </row>
    <row r="683" spans="1:22" s="294" customFormat="1">
      <c r="A683" s="434" t="s">
        <v>1944</v>
      </c>
      <c r="B683" s="449" t="s">
        <v>2167</v>
      </c>
      <c r="C683" s="527">
        <v>381</v>
      </c>
      <c r="D683" s="527">
        <v>76.2</v>
      </c>
      <c r="E683" s="527">
        <v>152.4</v>
      </c>
      <c r="F683" s="527">
        <v>133.4</v>
      </c>
      <c r="G683" s="345">
        <f t="shared" si="67"/>
        <v>4.1487013800000003</v>
      </c>
      <c r="H683" s="20"/>
      <c r="I683" s="20"/>
      <c r="J683" s="75"/>
      <c r="K683" s="773"/>
      <c r="L683" s="20"/>
      <c r="M683" s="20"/>
      <c r="N683" s="20"/>
      <c r="O683" s="20"/>
      <c r="P683" s="20"/>
      <c r="Q683" s="23"/>
      <c r="R683" s="22" t="s">
        <v>16</v>
      </c>
      <c r="S683" s="22" t="s">
        <v>16</v>
      </c>
      <c r="T683" s="20">
        <f t="shared" si="68"/>
        <v>6154.0595384485914</v>
      </c>
      <c r="U683" s="22">
        <v>1</v>
      </c>
      <c r="V683" s="3"/>
    </row>
    <row r="684" spans="1:22" s="294" customFormat="1">
      <c r="A684" s="434" t="s">
        <v>1945</v>
      </c>
      <c r="B684" s="449" t="s">
        <v>2167</v>
      </c>
      <c r="C684" s="527">
        <v>381</v>
      </c>
      <c r="D684" s="527">
        <v>76.2</v>
      </c>
      <c r="E684" s="527">
        <v>152.4</v>
      </c>
      <c r="F684" s="527">
        <v>127</v>
      </c>
      <c r="G684" s="345">
        <f t="shared" si="67"/>
        <v>4.0557983399999999</v>
      </c>
      <c r="H684" s="20"/>
      <c r="I684" s="20"/>
      <c r="J684" s="75"/>
      <c r="K684" s="773"/>
      <c r="L684" s="20"/>
      <c r="M684" s="20"/>
      <c r="N684" s="20"/>
      <c r="O684" s="20"/>
      <c r="P684" s="20"/>
      <c r="Q684" s="23"/>
      <c r="R684" s="22" t="s">
        <v>16</v>
      </c>
      <c r="S684" s="22" t="s">
        <v>16</v>
      </c>
      <c r="T684" s="20">
        <f t="shared" si="68"/>
        <v>4604.5559568757544</v>
      </c>
      <c r="U684" s="22">
        <v>1</v>
      </c>
      <c r="V684" s="3"/>
    </row>
    <row r="685" spans="1:22" s="294" customFormat="1">
      <c r="A685" s="434" t="s">
        <v>1946</v>
      </c>
      <c r="B685" s="449" t="s">
        <v>2167</v>
      </c>
      <c r="C685" s="527">
        <v>381</v>
      </c>
      <c r="D685" s="527">
        <v>76.2</v>
      </c>
      <c r="E685" s="527">
        <v>152.4</v>
      </c>
      <c r="F685" s="527">
        <v>122.2</v>
      </c>
      <c r="G685" s="345">
        <f t="shared" si="67"/>
        <v>3.9861210600000008</v>
      </c>
      <c r="H685" s="20"/>
      <c r="I685" s="20"/>
      <c r="J685" s="75"/>
      <c r="K685" s="773"/>
      <c r="L685" s="20"/>
      <c r="M685" s="20"/>
      <c r="N685" s="20"/>
      <c r="O685" s="20"/>
      <c r="P685" s="20"/>
      <c r="Q685" s="23"/>
      <c r="R685" s="22" t="s">
        <v>16</v>
      </c>
      <c r="S685" s="22" t="s">
        <v>16</v>
      </c>
      <c r="T685" s="20">
        <f t="shared" si="68"/>
        <v>3873.5949149109988</v>
      </c>
      <c r="U685" s="22">
        <v>1</v>
      </c>
      <c r="V685" s="3"/>
    </row>
    <row r="686" spans="1:22" s="294" customFormat="1">
      <c r="A686" s="434" t="s">
        <v>1947</v>
      </c>
      <c r="B686" s="449" t="s">
        <v>2167</v>
      </c>
      <c r="C686" s="527">
        <v>381</v>
      </c>
      <c r="D686" s="527">
        <v>76.2</v>
      </c>
      <c r="E686" s="527">
        <v>152.4</v>
      </c>
      <c r="F686" s="527">
        <v>121.4</v>
      </c>
      <c r="G686" s="345">
        <f t="shared" si="67"/>
        <v>3.9745081799999999</v>
      </c>
      <c r="H686" s="20"/>
      <c r="I686" s="20"/>
      <c r="J686" s="75"/>
      <c r="K686" s="773"/>
      <c r="L686" s="20"/>
      <c r="M686" s="20"/>
      <c r="N686" s="20"/>
      <c r="O686" s="20"/>
      <c r="P686" s="20"/>
      <c r="Q686" s="23"/>
      <c r="R686" s="22" t="s">
        <v>16</v>
      </c>
      <c r="S686" s="22" t="s">
        <v>16</v>
      </c>
      <c r="T686" s="20">
        <f t="shared" si="68"/>
        <v>3773.7900189294983</v>
      </c>
      <c r="U686" s="22">
        <v>1</v>
      </c>
      <c r="V686" s="3"/>
    </row>
    <row r="687" spans="1:22" s="294" customFormat="1">
      <c r="A687" s="434" t="s">
        <v>1948</v>
      </c>
      <c r="B687" s="449" t="s">
        <v>2167</v>
      </c>
      <c r="C687" s="527">
        <v>381</v>
      </c>
      <c r="D687" s="527">
        <v>76.2</v>
      </c>
      <c r="E687" s="527">
        <v>152.4</v>
      </c>
      <c r="F687" s="527">
        <v>114.3</v>
      </c>
      <c r="G687" s="345">
        <f t="shared" si="67"/>
        <v>3.8714438700000002</v>
      </c>
      <c r="H687" s="20"/>
      <c r="I687" s="20"/>
      <c r="J687" s="75"/>
      <c r="K687" s="773"/>
      <c r="L687" s="20"/>
      <c r="M687" s="20"/>
      <c r="N687" s="20"/>
      <c r="O687" s="20"/>
      <c r="P687" s="20"/>
      <c r="Q687" s="23"/>
      <c r="R687" s="22" t="s">
        <v>16</v>
      </c>
      <c r="S687" s="22" t="s">
        <v>16</v>
      </c>
      <c r="T687" s="20">
        <f t="shared" si="68"/>
        <v>3071.8326061164198</v>
      </c>
      <c r="U687" s="22">
        <v>1</v>
      </c>
      <c r="V687" s="3"/>
    </row>
    <row r="688" spans="1:22" s="294" customFormat="1">
      <c r="A688" s="434" t="s">
        <v>1949</v>
      </c>
      <c r="B688" s="449" t="s">
        <v>2167</v>
      </c>
      <c r="C688" s="527">
        <v>381</v>
      </c>
      <c r="D688" s="527">
        <v>76.2</v>
      </c>
      <c r="E688" s="527">
        <v>152.4</v>
      </c>
      <c r="F688" s="527">
        <v>111.1</v>
      </c>
      <c r="G688" s="345">
        <f t="shared" si="67"/>
        <v>3.82499235</v>
      </c>
      <c r="H688" s="20"/>
      <c r="I688" s="20"/>
      <c r="J688" s="75"/>
      <c r="K688" s="773"/>
      <c r="L688" s="20"/>
      <c r="M688" s="20"/>
      <c r="N688" s="20"/>
      <c r="O688" s="20"/>
      <c r="P688" s="20"/>
      <c r="Q688" s="23"/>
      <c r="R688" s="22" t="s">
        <v>16</v>
      </c>
      <c r="S688" s="22" t="s">
        <v>16</v>
      </c>
      <c r="T688" s="20">
        <f t="shared" si="68"/>
        <v>2834.4397655427069</v>
      </c>
      <c r="U688" s="22">
        <v>1</v>
      </c>
      <c r="V688" s="3"/>
    </row>
    <row r="689" spans="1:22" s="294" customFormat="1">
      <c r="A689" s="434" t="s">
        <v>1950</v>
      </c>
      <c r="B689" s="449" t="s">
        <v>2167</v>
      </c>
      <c r="C689" s="527">
        <v>381</v>
      </c>
      <c r="D689" s="527">
        <v>76.2</v>
      </c>
      <c r="E689" s="527">
        <v>152.4</v>
      </c>
      <c r="F689" s="527">
        <v>101.6</v>
      </c>
      <c r="G689" s="345">
        <f t="shared" si="67"/>
        <v>3.6870894000000001</v>
      </c>
      <c r="H689" s="20"/>
      <c r="I689" s="20"/>
      <c r="J689" s="75"/>
      <c r="K689" s="773"/>
      <c r="L689" s="20"/>
      <c r="M689" s="20"/>
      <c r="N689" s="20"/>
      <c r="O689" s="20"/>
      <c r="P689" s="20"/>
      <c r="Q689" s="23"/>
      <c r="R689" s="22" t="s">
        <v>16</v>
      </c>
      <c r="S689" s="22" t="s">
        <v>16</v>
      </c>
      <c r="T689" s="20">
        <f t="shared" si="68"/>
        <v>2306.1076644424038</v>
      </c>
      <c r="U689" s="22">
        <v>1</v>
      </c>
      <c r="V689" s="3"/>
    </row>
    <row r="690" spans="1:22" s="294" customFormat="1">
      <c r="A690" s="434" t="s">
        <v>1951</v>
      </c>
      <c r="B690" s="449" t="s">
        <v>2167</v>
      </c>
      <c r="C690" s="527">
        <v>381</v>
      </c>
      <c r="D690" s="527">
        <v>76.2</v>
      </c>
      <c r="E690" s="527">
        <v>152.4</v>
      </c>
      <c r="F690" s="527">
        <v>88.9</v>
      </c>
      <c r="G690" s="345">
        <f t="shared" si="67"/>
        <v>3.5027349300000004</v>
      </c>
      <c r="H690" s="20"/>
      <c r="I690" s="20"/>
      <c r="J690" s="75"/>
      <c r="K690" s="773"/>
      <c r="L690" s="20"/>
      <c r="M690" s="20"/>
      <c r="N690" s="20"/>
      <c r="O690" s="20"/>
      <c r="P690" s="20"/>
      <c r="Q690" s="23"/>
      <c r="R690" s="22" t="s">
        <v>16</v>
      </c>
      <c r="S690" s="22" t="s">
        <v>16</v>
      </c>
      <c r="T690" s="20">
        <f t="shared" si="68"/>
        <v>1847.1806083867384</v>
      </c>
      <c r="U690" s="22">
        <v>1</v>
      </c>
      <c r="V690" s="3"/>
    </row>
    <row r="691" spans="1:22" s="294" customFormat="1">
      <c r="A691" s="434" t="s">
        <v>1952</v>
      </c>
      <c r="B691" s="449" t="s">
        <v>2167</v>
      </c>
      <c r="C691" s="527">
        <v>381</v>
      </c>
      <c r="D691" s="527">
        <v>76.2</v>
      </c>
      <c r="E691" s="527">
        <v>152.4</v>
      </c>
      <c r="F691" s="527">
        <v>76.2</v>
      </c>
      <c r="G691" s="345">
        <f t="shared" si="67"/>
        <v>3.3183804600000006</v>
      </c>
      <c r="H691" s="20"/>
      <c r="I691" s="20"/>
      <c r="J691" s="75"/>
      <c r="K691" s="773"/>
      <c r="L691" s="20"/>
      <c r="M691" s="20"/>
      <c r="N691" s="20"/>
      <c r="O691" s="20"/>
      <c r="P691" s="20"/>
      <c r="Q691" s="23"/>
      <c r="R691" s="22" t="s">
        <v>16</v>
      </c>
      <c r="S691" s="22" t="s">
        <v>16</v>
      </c>
      <c r="T691" s="20">
        <f t="shared" si="68"/>
        <v>1541.6509202799443</v>
      </c>
      <c r="U691" s="22">
        <v>1</v>
      </c>
      <c r="V691" s="3"/>
    </row>
    <row r="692" spans="1:22" s="294" customFormat="1">
      <c r="A692" s="436" t="s">
        <v>1953</v>
      </c>
      <c r="B692" s="450" t="s">
        <v>2167</v>
      </c>
      <c r="C692" s="528">
        <v>457.2</v>
      </c>
      <c r="D692" s="528">
        <v>76.2</v>
      </c>
      <c r="E692" s="528">
        <v>152.4</v>
      </c>
      <c r="F692" s="528">
        <v>146.1</v>
      </c>
      <c r="G692" s="345">
        <f t="shared" si="67"/>
        <v>5.1996670200000006</v>
      </c>
      <c r="H692" s="20"/>
      <c r="I692" s="20"/>
      <c r="J692" s="75"/>
      <c r="K692" s="773"/>
      <c r="L692" s="20"/>
      <c r="M692" s="20"/>
      <c r="N692" s="20"/>
      <c r="O692" s="20"/>
      <c r="P692" s="20"/>
      <c r="Q692" s="23"/>
      <c r="R692" s="22" t="s">
        <v>16</v>
      </c>
      <c r="S692" s="22" t="s">
        <v>16</v>
      </c>
      <c r="T692" s="20">
        <f t="shared" si="68"/>
        <v>22265.442724325116</v>
      </c>
      <c r="U692" s="22">
        <v>1</v>
      </c>
      <c r="V692" s="3"/>
    </row>
    <row r="693" spans="1:22" s="294" customFormat="1">
      <c r="A693" s="436" t="s">
        <v>1954</v>
      </c>
      <c r="B693" s="450" t="s">
        <v>2167</v>
      </c>
      <c r="C693" s="528">
        <v>457.2</v>
      </c>
      <c r="D693" s="528">
        <v>76.2</v>
      </c>
      <c r="E693" s="528">
        <v>152.4</v>
      </c>
      <c r="F693" s="528">
        <v>143</v>
      </c>
      <c r="G693" s="345">
        <f t="shared" si="67"/>
        <v>5.1456671279999995</v>
      </c>
      <c r="H693" s="20"/>
      <c r="I693" s="20"/>
      <c r="J693" s="75"/>
      <c r="K693" s="773"/>
      <c r="L693" s="20"/>
      <c r="M693" s="20"/>
      <c r="N693" s="20"/>
      <c r="O693" s="20"/>
      <c r="P693" s="20"/>
      <c r="Q693" s="23"/>
      <c r="R693" s="22" t="s">
        <v>16</v>
      </c>
      <c r="S693" s="22" t="s">
        <v>16</v>
      </c>
      <c r="T693" s="20">
        <f t="shared" si="68"/>
        <v>14923.018239719961</v>
      </c>
      <c r="U693" s="22">
        <v>1</v>
      </c>
      <c r="V693" s="3"/>
    </row>
    <row r="694" spans="1:22" s="294" customFormat="1">
      <c r="A694" s="436" t="s">
        <v>1955</v>
      </c>
      <c r="B694" s="450" t="s">
        <v>2167</v>
      </c>
      <c r="C694" s="528">
        <v>457.2</v>
      </c>
      <c r="D694" s="528">
        <v>76.2</v>
      </c>
      <c r="E694" s="528">
        <v>152.4</v>
      </c>
      <c r="F694" s="528">
        <v>139.69999999999999</v>
      </c>
      <c r="G694" s="345">
        <f t="shared" ref="G694:G735" si="69">((E694+F694)/2)*D694*C694/10^6</f>
        <v>5.0881833720000005</v>
      </c>
      <c r="H694" s="20"/>
      <c r="I694" s="20"/>
      <c r="J694" s="75"/>
      <c r="K694" s="773"/>
      <c r="L694" s="20"/>
      <c r="M694" s="20"/>
      <c r="N694" s="20"/>
      <c r="O694" s="20"/>
      <c r="P694" s="20"/>
      <c r="Q694" s="23"/>
      <c r="R694" s="22" t="s">
        <v>16</v>
      </c>
      <c r="S694" s="22" t="s">
        <v>16</v>
      </c>
      <c r="T694" s="20">
        <f t="shared" ref="T694:T735" si="70">(E694+U694)/2/(SIN(RADIANS((ATAN(((E694+U694)-(F694+U694))/2/C694)*180/PI()))))*2</f>
        <v>11045.865226409371</v>
      </c>
      <c r="U694" s="22">
        <v>1</v>
      </c>
      <c r="V694" s="3"/>
    </row>
    <row r="695" spans="1:22" s="294" customFormat="1">
      <c r="A695" s="436" t="s">
        <v>1956</v>
      </c>
      <c r="B695" s="450" t="s">
        <v>2167</v>
      </c>
      <c r="C695" s="528">
        <v>457.2</v>
      </c>
      <c r="D695" s="528">
        <v>76.2</v>
      </c>
      <c r="E695" s="528">
        <v>152.4</v>
      </c>
      <c r="F695" s="528">
        <v>136.5</v>
      </c>
      <c r="G695" s="345">
        <f t="shared" si="69"/>
        <v>5.0324415479999995</v>
      </c>
      <c r="H695" s="20"/>
      <c r="I695" s="20"/>
      <c r="J695" s="75"/>
      <c r="K695" s="773"/>
      <c r="L695" s="20"/>
      <c r="M695" s="20"/>
      <c r="N695" s="20"/>
      <c r="O695" s="20"/>
      <c r="P695" s="20"/>
      <c r="Q695" s="23"/>
      <c r="R695" s="22" t="s">
        <v>16</v>
      </c>
      <c r="S695" s="22" t="s">
        <v>16</v>
      </c>
      <c r="T695" s="20">
        <f t="shared" si="70"/>
        <v>8823.2807632389176</v>
      </c>
      <c r="U695" s="22">
        <v>1</v>
      </c>
      <c r="V695" s="3"/>
    </row>
    <row r="696" spans="1:22" s="294" customFormat="1">
      <c r="A696" s="436" t="s">
        <v>1957</v>
      </c>
      <c r="B696" s="450" t="s">
        <v>2167</v>
      </c>
      <c r="C696" s="528">
        <v>457.2</v>
      </c>
      <c r="D696" s="528">
        <v>76.2</v>
      </c>
      <c r="E696" s="528">
        <v>152.4</v>
      </c>
      <c r="F696" s="528">
        <v>133.4</v>
      </c>
      <c r="G696" s="345">
        <f t="shared" si="69"/>
        <v>4.9784416560000002</v>
      </c>
      <c r="H696" s="20"/>
      <c r="I696" s="20"/>
      <c r="J696" s="75"/>
      <c r="K696" s="773"/>
      <c r="L696" s="20"/>
      <c r="M696" s="20"/>
      <c r="N696" s="20"/>
      <c r="O696" s="20"/>
      <c r="P696" s="20"/>
      <c r="Q696" s="23"/>
      <c r="R696" s="22" t="s">
        <v>16</v>
      </c>
      <c r="S696" s="22" t="s">
        <v>16</v>
      </c>
      <c r="T696" s="20">
        <f t="shared" si="70"/>
        <v>7384.1703927786584</v>
      </c>
      <c r="U696" s="22">
        <v>1</v>
      </c>
      <c r="V696" s="3"/>
    </row>
    <row r="697" spans="1:22" s="294" customFormat="1">
      <c r="A697" s="436" t="s">
        <v>1958</v>
      </c>
      <c r="B697" s="450" t="s">
        <v>2167</v>
      </c>
      <c r="C697" s="528">
        <v>457.2</v>
      </c>
      <c r="D697" s="528">
        <v>76.2</v>
      </c>
      <c r="E697" s="528">
        <v>152.4</v>
      </c>
      <c r="F697" s="528">
        <v>131.80000000000001</v>
      </c>
      <c r="G697" s="345">
        <f t="shared" si="69"/>
        <v>4.9505707440000011</v>
      </c>
      <c r="H697" s="20"/>
      <c r="I697" s="20"/>
      <c r="J697" s="75"/>
      <c r="K697" s="773"/>
      <c r="L697" s="20"/>
      <c r="M697" s="20"/>
      <c r="N697" s="20"/>
      <c r="O697" s="20"/>
      <c r="P697" s="20"/>
      <c r="Q697" s="23"/>
      <c r="R697" s="22" t="s">
        <v>16</v>
      </c>
      <c r="S697" s="22" t="s">
        <v>16</v>
      </c>
      <c r="T697" s="20">
        <f t="shared" si="70"/>
        <v>6810.9005272289069</v>
      </c>
      <c r="U697" s="22">
        <v>1</v>
      </c>
      <c r="V697" s="3"/>
    </row>
    <row r="698" spans="1:22" s="294" customFormat="1">
      <c r="A698" s="436" t="s">
        <v>1959</v>
      </c>
      <c r="B698" s="450" t="s">
        <v>2167</v>
      </c>
      <c r="C698" s="528">
        <v>457.2</v>
      </c>
      <c r="D698" s="528">
        <v>76.2</v>
      </c>
      <c r="E698" s="528">
        <v>152.4</v>
      </c>
      <c r="F698" s="528">
        <v>130.19999999999999</v>
      </c>
      <c r="G698" s="345">
        <f t="shared" si="69"/>
        <v>4.9226998320000002</v>
      </c>
      <c r="H698" s="20"/>
      <c r="I698" s="20"/>
      <c r="J698" s="75"/>
      <c r="K698" s="773"/>
      <c r="L698" s="20"/>
      <c r="M698" s="20"/>
      <c r="N698" s="20"/>
      <c r="O698" s="20"/>
      <c r="P698" s="20"/>
      <c r="Q698" s="23"/>
      <c r="R698" s="22" t="s">
        <v>16</v>
      </c>
      <c r="S698" s="22" t="s">
        <v>16</v>
      </c>
      <c r="T698" s="20">
        <f t="shared" si="70"/>
        <v>6320.2834864090983</v>
      </c>
      <c r="U698" s="22">
        <v>1</v>
      </c>
      <c r="V698" s="3"/>
    </row>
    <row r="699" spans="1:22" s="294" customFormat="1">
      <c r="A699" s="436" t="s">
        <v>1960</v>
      </c>
      <c r="B699" s="450" t="s">
        <v>2167</v>
      </c>
      <c r="C699" s="528">
        <v>457.2</v>
      </c>
      <c r="D699" s="528">
        <v>76.2</v>
      </c>
      <c r="E699" s="528">
        <v>152.4</v>
      </c>
      <c r="F699" s="528">
        <v>127</v>
      </c>
      <c r="G699" s="345">
        <f t="shared" si="69"/>
        <v>4.8669580079999992</v>
      </c>
      <c r="H699" s="20"/>
      <c r="I699" s="20"/>
      <c r="J699" s="75"/>
      <c r="K699" s="773"/>
      <c r="L699" s="20"/>
      <c r="M699" s="20"/>
      <c r="N699" s="20"/>
      <c r="O699" s="20"/>
      <c r="P699" s="20"/>
      <c r="Q699" s="23"/>
      <c r="R699" s="22" t="s">
        <v>16</v>
      </c>
      <c r="S699" s="22" t="s">
        <v>16</v>
      </c>
      <c r="T699" s="20">
        <f t="shared" si="70"/>
        <v>5524.5301447272413</v>
      </c>
      <c r="U699" s="22">
        <v>1</v>
      </c>
      <c r="V699" s="3"/>
    </row>
    <row r="700" spans="1:22" s="294" customFormat="1">
      <c r="A700" s="436" t="s">
        <v>1961</v>
      </c>
      <c r="B700" s="450" t="s">
        <v>2167</v>
      </c>
      <c r="C700" s="528">
        <v>457.2</v>
      </c>
      <c r="D700" s="528">
        <v>76.2</v>
      </c>
      <c r="E700" s="528">
        <v>152.4</v>
      </c>
      <c r="F700" s="528">
        <v>122.2</v>
      </c>
      <c r="G700" s="345">
        <f t="shared" si="69"/>
        <v>4.7833452720000009</v>
      </c>
      <c r="H700" s="20"/>
      <c r="I700" s="20"/>
      <c r="J700" s="75"/>
      <c r="K700" s="773"/>
      <c r="L700" s="20"/>
      <c r="M700" s="20"/>
      <c r="N700" s="20"/>
      <c r="O700" s="20"/>
      <c r="P700" s="20"/>
      <c r="Q700" s="23"/>
      <c r="R700" s="22" t="s">
        <v>16</v>
      </c>
      <c r="S700" s="22" t="s">
        <v>16</v>
      </c>
      <c r="T700" s="20">
        <f t="shared" si="70"/>
        <v>4647.2000394804463</v>
      </c>
      <c r="U700" s="22">
        <v>1</v>
      </c>
      <c r="V700" s="3"/>
    </row>
    <row r="701" spans="1:22" s="294" customFormat="1">
      <c r="A701" s="436" t="s">
        <v>1962</v>
      </c>
      <c r="B701" s="450" t="s">
        <v>2167</v>
      </c>
      <c r="C701" s="528">
        <v>457.2</v>
      </c>
      <c r="D701" s="528">
        <v>76.2</v>
      </c>
      <c r="E701" s="528">
        <v>152.4</v>
      </c>
      <c r="F701" s="528">
        <v>121.9</v>
      </c>
      <c r="G701" s="345">
        <f t="shared" si="69"/>
        <v>4.7781194759999996</v>
      </c>
      <c r="H701" s="20"/>
      <c r="I701" s="20"/>
      <c r="J701" s="75"/>
      <c r="K701" s="773"/>
      <c r="L701" s="20"/>
      <c r="M701" s="20"/>
      <c r="N701" s="20"/>
      <c r="O701" s="20"/>
      <c r="P701" s="20"/>
      <c r="Q701" s="23"/>
      <c r="R701" s="22" t="s">
        <v>16</v>
      </c>
      <c r="S701" s="22" t="s">
        <v>16</v>
      </c>
      <c r="T701" s="20">
        <f t="shared" si="70"/>
        <v>4601.5399281628961</v>
      </c>
      <c r="U701" s="22">
        <v>1</v>
      </c>
      <c r="V701" s="3"/>
    </row>
    <row r="702" spans="1:22" s="294" customFormat="1">
      <c r="A702" s="436" t="s">
        <v>1963</v>
      </c>
      <c r="B702" s="450" t="s">
        <v>2167</v>
      </c>
      <c r="C702" s="528">
        <v>457.2</v>
      </c>
      <c r="D702" s="528">
        <v>76.2</v>
      </c>
      <c r="E702" s="528">
        <v>152.4</v>
      </c>
      <c r="F702" s="528">
        <v>114.3</v>
      </c>
      <c r="G702" s="345">
        <f t="shared" si="69"/>
        <v>4.6457326440000006</v>
      </c>
      <c r="H702" s="20"/>
      <c r="I702" s="20"/>
      <c r="J702" s="75"/>
      <c r="K702" s="773"/>
      <c r="L702" s="20"/>
      <c r="M702" s="20"/>
      <c r="N702" s="20"/>
      <c r="O702" s="20"/>
      <c r="P702" s="20"/>
      <c r="Q702" s="23"/>
      <c r="R702" s="22" t="s">
        <v>16</v>
      </c>
      <c r="S702" s="22" t="s">
        <v>16</v>
      </c>
      <c r="T702" s="20">
        <f t="shared" si="70"/>
        <v>3684.7944474556507</v>
      </c>
      <c r="U702" s="22">
        <v>1</v>
      </c>
      <c r="V702" s="3"/>
    </row>
    <row r="703" spans="1:22" s="294" customFormat="1">
      <c r="A703" s="436" t="s">
        <v>1964</v>
      </c>
      <c r="B703" s="450" t="s">
        <v>2167</v>
      </c>
      <c r="C703" s="528">
        <v>457.2</v>
      </c>
      <c r="D703" s="528">
        <v>76.2</v>
      </c>
      <c r="E703" s="528">
        <v>152.4</v>
      </c>
      <c r="F703" s="528">
        <v>101.6</v>
      </c>
      <c r="G703" s="345">
        <f t="shared" si="69"/>
        <v>4.4245072799999994</v>
      </c>
      <c r="H703" s="20"/>
      <c r="I703" s="20"/>
      <c r="J703" s="75"/>
      <c r="K703" s="773"/>
      <c r="L703" s="20"/>
      <c r="M703" s="20"/>
      <c r="N703" s="20"/>
      <c r="O703" s="20"/>
      <c r="P703" s="20"/>
      <c r="Q703" s="23"/>
      <c r="R703" s="22" t="s">
        <v>16</v>
      </c>
      <c r="S703" s="22" t="s">
        <v>16</v>
      </c>
      <c r="T703" s="20">
        <f t="shared" si="70"/>
        <v>2765.4578282808789</v>
      </c>
      <c r="U703" s="22">
        <v>1</v>
      </c>
      <c r="V703" s="3"/>
    </row>
    <row r="704" spans="1:22" s="294" customFormat="1">
      <c r="A704" s="436" t="s">
        <v>1965</v>
      </c>
      <c r="B704" s="450" t="s">
        <v>2167</v>
      </c>
      <c r="C704" s="528">
        <v>457.2</v>
      </c>
      <c r="D704" s="528">
        <v>76.2</v>
      </c>
      <c r="E704" s="528">
        <v>152.4</v>
      </c>
      <c r="F704" s="528">
        <v>88.9</v>
      </c>
      <c r="G704" s="345">
        <f t="shared" si="69"/>
        <v>4.2032819159999999</v>
      </c>
      <c r="H704" s="20"/>
      <c r="I704" s="20"/>
      <c r="J704" s="75"/>
      <c r="K704" s="773"/>
      <c r="L704" s="20"/>
      <c r="M704" s="20"/>
      <c r="N704" s="20"/>
      <c r="O704" s="20"/>
      <c r="P704" s="20"/>
      <c r="Q704" s="23"/>
      <c r="R704" s="22" t="s">
        <v>16</v>
      </c>
      <c r="S704" s="22" t="s">
        <v>16</v>
      </c>
      <c r="T704" s="20">
        <f t="shared" si="70"/>
        <v>2214.2799826580199</v>
      </c>
      <c r="U704" s="22">
        <v>1</v>
      </c>
      <c r="V704" s="3"/>
    </row>
    <row r="705" spans="1:22" s="294" customFormat="1">
      <c r="A705" s="436" t="s">
        <v>1966</v>
      </c>
      <c r="B705" s="450" t="s">
        <v>2167</v>
      </c>
      <c r="C705" s="528">
        <v>457.2</v>
      </c>
      <c r="D705" s="528">
        <v>76.2</v>
      </c>
      <c r="E705" s="528">
        <v>152.4</v>
      </c>
      <c r="F705" s="528">
        <v>85.7</v>
      </c>
      <c r="G705" s="345">
        <f t="shared" si="69"/>
        <v>4.1475400919999998</v>
      </c>
      <c r="H705" s="20"/>
      <c r="I705" s="20"/>
      <c r="J705" s="75"/>
      <c r="K705" s="773"/>
      <c r="L705" s="20"/>
      <c r="M705" s="20"/>
      <c r="N705" s="20"/>
      <c r="O705" s="20"/>
      <c r="P705" s="20"/>
      <c r="Q705" s="23"/>
      <c r="R705" s="22" t="s">
        <v>16</v>
      </c>
      <c r="S705" s="22" t="s">
        <v>16</v>
      </c>
      <c r="T705" s="20">
        <f t="shared" si="70"/>
        <v>2108.5702913669838</v>
      </c>
      <c r="U705" s="22">
        <v>1</v>
      </c>
      <c r="V705" s="3"/>
    </row>
    <row r="706" spans="1:22" s="294" customFormat="1">
      <c r="A706" s="436" t="s">
        <v>1967</v>
      </c>
      <c r="B706" s="450" t="s">
        <v>2167</v>
      </c>
      <c r="C706" s="528">
        <v>457.2</v>
      </c>
      <c r="D706" s="528">
        <v>76.2</v>
      </c>
      <c r="E706" s="528">
        <v>152.4</v>
      </c>
      <c r="F706" s="528">
        <v>76.2</v>
      </c>
      <c r="G706" s="345">
        <f t="shared" si="69"/>
        <v>3.9820565520000004</v>
      </c>
      <c r="H706" s="20"/>
      <c r="I706" s="20"/>
      <c r="J706" s="75"/>
      <c r="K706" s="773"/>
      <c r="L706" s="20"/>
      <c r="M706" s="20"/>
      <c r="N706" s="20"/>
      <c r="O706" s="20"/>
      <c r="P706" s="20"/>
      <c r="Q706" s="23"/>
      <c r="R706" s="22" t="s">
        <v>16</v>
      </c>
      <c r="S706" s="22" t="s">
        <v>16</v>
      </c>
      <c r="T706" s="20">
        <f t="shared" si="70"/>
        <v>1847.1806083867377</v>
      </c>
      <c r="U706" s="22">
        <v>1</v>
      </c>
      <c r="V706" s="3"/>
    </row>
    <row r="707" spans="1:22" s="294" customFormat="1">
      <c r="A707" s="529" t="s">
        <v>1968</v>
      </c>
      <c r="B707" s="530" t="s">
        <v>2167</v>
      </c>
      <c r="C707" s="531">
        <v>533.4</v>
      </c>
      <c r="D707" s="531">
        <v>76.2</v>
      </c>
      <c r="E707" s="531">
        <v>152.4</v>
      </c>
      <c r="F707" s="531">
        <v>139.69999999999999</v>
      </c>
      <c r="G707" s="345">
        <f t="shared" si="69"/>
        <v>5.9362139340000013</v>
      </c>
      <c r="H707" s="20"/>
      <c r="I707" s="20"/>
      <c r="J707" s="75"/>
      <c r="K707" s="773"/>
      <c r="L707" s="20"/>
      <c r="M707" s="20"/>
      <c r="N707" s="20"/>
      <c r="O707" s="20"/>
      <c r="P707" s="20"/>
      <c r="Q707" s="23"/>
      <c r="R707" s="22" t="s">
        <v>16</v>
      </c>
      <c r="S707" s="22" t="s">
        <v>16</v>
      </c>
      <c r="T707" s="20">
        <f t="shared" si="70"/>
        <v>12886.51306288864</v>
      </c>
      <c r="U707" s="22">
        <v>1</v>
      </c>
      <c r="V707" s="3"/>
    </row>
    <row r="708" spans="1:22" s="294" customFormat="1">
      <c r="A708" s="529" t="s">
        <v>1969</v>
      </c>
      <c r="B708" s="530" t="s">
        <v>2167</v>
      </c>
      <c r="C708" s="531">
        <v>533.4</v>
      </c>
      <c r="D708" s="531">
        <v>76.2</v>
      </c>
      <c r="E708" s="531">
        <v>152.4</v>
      </c>
      <c r="F708" s="531">
        <v>128.6</v>
      </c>
      <c r="G708" s="345">
        <f t="shared" si="69"/>
        <v>5.7106337400000005</v>
      </c>
      <c r="H708" s="20"/>
      <c r="I708" s="20"/>
      <c r="J708" s="75"/>
      <c r="K708" s="773"/>
      <c r="L708" s="20"/>
      <c r="M708" s="20"/>
      <c r="N708" s="20"/>
      <c r="O708" s="20"/>
      <c r="P708" s="20"/>
      <c r="Q708" s="23"/>
      <c r="R708" s="22" t="s">
        <v>16</v>
      </c>
      <c r="S708" s="22" t="s">
        <v>16</v>
      </c>
      <c r="T708" s="20">
        <f t="shared" si="70"/>
        <v>6877.6403537529422</v>
      </c>
      <c r="U708" s="22">
        <v>1</v>
      </c>
      <c r="V708" s="3"/>
    </row>
    <row r="709" spans="1:22" s="294" customFormat="1">
      <c r="A709" s="529" t="s">
        <v>1970</v>
      </c>
      <c r="B709" s="530" t="s">
        <v>2167</v>
      </c>
      <c r="C709" s="531">
        <v>533.4</v>
      </c>
      <c r="D709" s="531">
        <v>76.2</v>
      </c>
      <c r="E709" s="531">
        <v>152.4</v>
      </c>
      <c r="F709" s="531">
        <v>127</v>
      </c>
      <c r="G709" s="345">
        <f t="shared" si="69"/>
        <v>5.6781176759999994</v>
      </c>
      <c r="H709" s="20"/>
      <c r="I709" s="20"/>
      <c r="J709" s="75"/>
      <c r="K709" s="773"/>
      <c r="L709" s="20"/>
      <c r="M709" s="20"/>
      <c r="N709" s="20"/>
      <c r="O709" s="20"/>
      <c r="P709" s="20"/>
      <c r="Q709" s="23"/>
      <c r="R709" s="22" t="s">
        <v>16</v>
      </c>
      <c r="S709" s="22" t="s">
        <v>16</v>
      </c>
      <c r="T709" s="20">
        <f t="shared" si="70"/>
        <v>6444.6259317356808</v>
      </c>
      <c r="U709" s="22">
        <v>1</v>
      </c>
      <c r="V709" s="3"/>
    </row>
    <row r="710" spans="1:22" s="294" customFormat="1">
      <c r="A710" s="529" t="s">
        <v>1971</v>
      </c>
      <c r="B710" s="530" t="s">
        <v>2167</v>
      </c>
      <c r="C710" s="531">
        <v>533.4</v>
      </c>
      <c r="D710" s="531">
        <v>76.2</v>
      </c>
      <c r="E710" s="531">
        <v>152.4</v>
      </c>
      <c r="F710" s="531">
        <v>122.2</v>
      </c>
      <c r="G710" s="345">
        <f t="shared" si="69"/>
        <v>5.5805694840000015</v>
      </c>
      <c r="H710" s="20"/>
      <c r="I710" s="20"/>
      <c r="J710" s="75"/>
      <c r="K710" s="773"/>
      <c r="L710" s="20"/>
      <c r="M710" s="20"/>
      <c r="N710" s="20"/>
      <c r="O710" s="20"/>
      <c r="P710" s="20"/>
      <c r="Q710" s="23"/>
      <c r="R710" s="22" t="s">
        <v>16</v>
      </c>
      <c r="S710" s="22" t="s">
        <v>16</v>
      </c>
      <c r="T710" s="20">
        <f t="shared" si="70"/>
        <v>5420.9496704411231</v>
      </c>
      <c r="U710" s="22">
        <v>1</v>
      </c>
      <c r="V710" s="3"/>
    </row>
    <row r="711" spans="1:22" s="294" customFormat="1">
      <c r="A711" s="529" t="s">
        <v>1972</v>
      </c>
      <c r="B711" s="530" t="s">
        <v>2167</v>
      </c>
      <c r="C711" s="531">
        <v>533.4</v>
      </c>
      <c r="D711" s="531">
        <v>76.2</v>
      </c>
      <c r="E711" s="531">
        <v>152.4</v>
      </c>
      <c r="F711" s="531">
        <v>114.3</v>
      </c>
      <c r="G711" s="345">
        <f t="shared" si="69"/>
        <v>5.4200214179999993</v>
      </c>
      <c r="H711" s="20"/>
      <c r="I711" s="20"/>
      <c r="J711" s="75"/>
      <c r="K711" s="773"/>
      <c r="L711" s="20"/>
      <c r="M711" s="20"/>
      <c r="N711" s="20"/>
      <c r="O711" s="20"/>
      <c r="P711" s="20"/>
      <c r="Q711" s="23"/>
      <c r="R711" s="22" t="s">
        <v>16</v>
      </c>
      <c r="S711" s="22" t="s">
        <v>16</v>
      </c>
      <c r="T711" s="20">
        <f t="shared" si="70"/>
        <v>4297.9384127741969</v>
      </c>
      <c r="U711" s="22">
        <v>1</v>
      </c>
      <c r="V711" s="3"/>
    </row>
    <row r="712" spans="1:22" s="294" customFormat="1">
      <c r="A712" s="529" t="s">
        <v>1973</v>
      </c>
      <c r="B712" s="530" t="s">
        <v>2167</v>
      </c>
      <c r="C712" s="531">
        <v>533.4</v>
      </c>
      <c r="D712" s="531">
        <v>76.2</v>
      </c>
      <c r="E712" s="531">
        <v>152.4</v>
      </c>
      <c r="F712" s="531">
        <v>101.6</v>
      </c>
      <c r="G712" s="345">
        <f t="shared" si="69"/>
        <v>5.1619251599999991</v>
      </c>
      <c r="H712" s="20"/>
      <c r="I712" s="20"/>
      <c r="J712" s="75"/>
      <c r="K712" s="773"/>
      <c r="L712" s="20"/>
      <c r="M712" s="20"/>
      <c r="N712" s="20"/>
      <c r="O712" s="20"/>
      <c r="P712" s="20"/>
      <c r="Q712" s="23"/>
      <c r="R712" s="22" t="s">
        <v>16</v>
      </c>
      <c r="S712" s="22" t="s">
        <v>16</v>
      </c>
      <c r="T712" s="20">
        <f t="shared" si="70"/>
        <v>3225.0503127858324</v>
      </c>
      <c r="U712" s="22">
        <v>1</v>
      </c>
      <c r="V712" s="3"/>
    </row>
    <row r="713" spans="1:22" s="294" customFormat="1">
      <c r="A713" s="529" t="s">
        <v>1974</v>
      </c>
      <c r="B713" s="530" t="s">
        <v>2167</v>
      </c>
      <c r="C713" s="531">
        <v>533.4</v>
      </c>
      <c r="D713" s="531">
        <v>76.2</v>
      </c>
      <c r="E713" s="531">
        <v>152.4</v>
      </c>
      <c r="F713" s="531">
        <v>88.9</v>
      </c>
      <c r="G713" s="345">
        <f t="shared" si="69"/>
        <v>4.9038289019999999</v>
      </c>
      <c r="H713" s="20"/>
      <c r="I713" s="20"/>
      <c r="J713" s="75"/>
      <c r="K713" s="773"/>
      <c r="L713" s="20"/>
      <c r="M713" s="20"/>
      <c r="N713" s="20"/>
      <c r="O713" s="20"/>
      <c r="P713" s="20"/>
      <c r="Q713" s="23"/>
      <c r="R713" s="22" t="s">
        <v>16</v>
      </c>
      <c r="S713" s="22" t="s">
        <v>16</v>
      </c>
      <c r="T713" s="20">
        <f t="shared" si="70"/>
        <v>2581.6814393724103</v>
      </c>
      <c r="U713" s="22">
        <v>1</v>
      </c>
      <c r="V713" s="3"/>
    </row>
    <row r="714" spans="1:22" s="294" customFormat="1">
      <c r="A714" s="529" t="s">
        <v>1975</v>
      </c>
      <c r="B714" s="530" t="s">
        <v>2167</v>
      </c>
      <c r="C714" s="531">
        <v>533.4</v>
      </c>
      <c r="D714" s="531">
        <v>76.2</v>
      </c>
      <c r="E714" s="531">
        <v>152.4</v>
      </c>
      <c r="F714" s="531">
        <v>76.2</v>
      </c>
      <c r="G714" s="345">
        <f t="shared" si="69"/>
        <v>4.6457326440000006</v>
      </c>
      <c r="H714" s="20"/>
      <c r="I714" s="20"/>
      <c r="J714" s="75"/>
      <c r="K714" s="773"/>
      <c r="L714" s="20"/>
      <c r="M714" s="20"/>
      <c r="N714" s="20"/>
      <c r="O714" s="20"/>
      <c r="P714" s="20"/>
      <c r="Q714" s="23"/>
      <c r="R714" s="22" t="s">
        <v>16</v>
      </c>
      <c r="S714" s="22" t="s">
        <v>16</v>
      </c>
      <c r="T714" s="20">
        <f t="shared" si="70"/>
        <v>2153.0716012246312</v>
      </c>
      <c r="U714" s="22">
        <v>1</v>
      </c>
      <c r="V714" s="3"/>
    </row>
    <row r="715" spans="1:22" s="294" customFormat="1">
      <c r="A715" s="529" t="s">
        <v>1976</v>
      </c>
      <c r="B715" s="530" t="s">
        <v>2167</v>
      </c>
      <c r="C715" s="531">
        <v>533.4</v>
      </c>
      <c r="D715" s="531">
        <v>76.2</v>
      </c>
      <c r="E715" s="531">
        <v>152.4</v>
      </c>
      <c r="F715" s="531">
        <v>50.8</v>
      </c>
      <c r="G715" s="345">
        <f t="shared" si="69"/>
        <v>4.1295401280000004</v>
      </c>
      <c r="H715" s="20"/>
      <c r="I715" s="20"/>
      <c r="J715" s="75"/>
      <c r="K715" s="773"/>
      <c r="L715" s="20"/>
      <c r="M715" s="20"/>
      <c r="N715" s="20"/>
      <c r="O715" s="20"/>
      <c r="P715" s="20"/>
      <c r="Q715" s="23"/>
      <c r="R715" s="22" t="s">
        <v>16</v>
      </c>
      <c r="S715" s="22" t="s">
        <v>16</v>
      </c>
      <c r="T715" s="20">
        <f t="shared" si="70"/>
        <v>1617.9882725162129</v>
      </c>
      <c r="U715" s="22">
        <v>1</v>
      </c>
      <c r="V715" s="3"/>
    </row>
    <row r="716" spans="1:22" s="294" customFormat="1">
      <c r="A716" s="532" t="s">
        <v>1977</v>
      </c>
      <c r="B716" s="533" t="s">
        <v>2167</v>
      </c>
      <c r="C716" s="534">
        <v>609.79999999999995</v>
      </c>
      <c r="D716" s="534">
        <v>76.2</v>
      </c>
      <c r="E716" s="534">
        <v>152.4</v>
      </c>
      <c r="F716" s="534">
        <v>139.69999999999999</v>
      </c>
      <c r="G716" s="345">
        <f t="shared" si="69"/>
        <v>6.7864702980000002</v>
      </c>
      <c r="H716" s="20"/>
      <c r="I716" s="20"/>
      <c r="J716" s="75"/>
      <c r="K716" s="773"/>
      <c r="L716" s="20"/>
      <c r="M716" s="20"/>
      <c r="N716" s="20"/>
      <c r="O716" s="20"/>
      <c r="P716" s="20"/>
      <c r="Q716" s="23"/>
      <c r="R716" s="22" t="s">
        <v>16</v>
      </c>
      <c r="S716" s="22" t="s">
        <v>16</v>
      </c>
      <c r="T716" s="20">
        <f t="shared" si="70"/>
        <v>14732.030170706194</v>
      </c>
      <c r="U716" s="22">
        <v>1</v>
      </c>
      <c r="V716" s="3"/>
    </row>
    <row r="717" spans="1:22" s="294" customFormat="1">
      <c r="A717" s="532" t="s">
        <v>1978</v>
      </c>
      <c r="B717" s="533" t="s">
        <v>2167</v>
      </c>
      <c r="C717" s="534">
        <v>609.6</v>
      </c>
      <c r="D717" s="534">
        <v>76.2</v>
      </c>
      <c r="E717" s="534">
        <v>152.4</v>
      </c>
      <c r="F717" s="534">
        <v>127</v>
      </c>
      <c r="G717" s="345">
        <f t="shared" si="69"/>
        <v>6.4892773439999996</v>
      </c>
      <c r="H717" s="20"/>
      <c r="I717" s="20"/>
      <c r="J717" s="75"/>
      <c r="K717" s="773"/>
      <c r="L717" s="20"/>
      <c r="M717" s="20"/>
      <c r="N717" s="20"/>
      <c r="O717" s="20"/>
      <c r="P717" s="20"/>
      <c r="Q717" s="23"/>
      <c r="R717" s="22" t="s">
        <v>16</v>
      </c>
      <c r="S717" s="22" t="s">
        <v>16</v>
      </c>
      <c r="T717" s="20">
        <f t="shared" si="70"/>
        <v>7364.7977433192273</v>
      </c>
      <c r="U717" s="22">
        <v>1</v>
      </c>
      <c r="V717" s="3"/>
    </row>
    <row r="718" spans="1:22" s="294" customFormat="1">
      <c r="A718" s="532" t="s">
        <v>1979</v>
      </c>
      <c r="B718" s="533" t="s">
        <v>2167</v>
      </c>
      <c r="C718" s="534">
        <v>609.79999999999995</v>
      </c>
      <c r="D718" s="534">
        <v>76.2</v>
      </c>
      <c r="E718" s="534">
        <v>152.4</v>
      </c>
      <c r="F718" s="534">
        <v>122.2</v>
      </c>
      <c r="G718" s="345">
        <f t="shared" si="69"/>
        <v>6.3798861480000006</v>
      </c>
      <c r="H718" s="20"/>
      <c r="I718" s="20"/>
      <c r="J718" s="75"/>
      <c r="K718" s="773"/>
      <c r="L718" s="20"/>
      <c r="M718" s="20"/>
      <c r="N718" s="20"/>
      <c r="O718" s="20"/>
      <c r="P718" s="20"/>
      <c r="Q718" s="23"/>
      <c r="R718" s="22" t="s">
        <v>16</v>
      </c>
      <c r="S718" s="22" t="s">
        <v>16</v>
      </c>
      <c r="T718" s="20">
        <f t="shared" si="70"/>
        <v>6196.8208253056</v>
      </c>
      <c r="U718" s="22">
        <v>1</v>
      </c>
      <c r="V718" s="3"/>
    </row>
    <row r="719" spans="1:22" s="294" customFormat="1">
      <c r="A719" s="532" t="s">
        <v>1980</v>
      </c>
      <c r="B719" s="533" t="s">
        <v>2167</v>
      </c>
      <c r="C719" s="534">
        <v>609.79999999999995</v>
      </c>
      <c r="D719" s="534">
        <v>76.2</v>
      </c>
      <c r="E719" s="534">
        <v>152.4</v>
      </c>
      <c r="F719" s="534">
        <v>114.3</v>
      </c>
      <c r="G719" s="345">
        <f t="shared" si="69"/>
        <v>6.1963424459999992</v>
      </c>
      <c r="H719" s="20"/>
      <c r="I719" s="20"/>
      <c r="J719" s="75"/>
      <c r="K719" s="773"/>
      <c r="L719" s="20"/>
      <c r="M719" s="20"/>
      <c r="N719" s="20"/>
      <c r="O719" s="20"/>
      <c r="P719" s="20"/>
      <c r="Q719" s="23"/>
      <c r="R719" s="22" t="s">
        <v>16</v>
      </c>
      <c r="S719" s="22" t="s">
        <v>16</v>
      </c>
      <c r="T719" s="20">
        <f t="shared" si="70"/>
        <v>4912.8060032553722</v>
      </c>
      <c r="U719" s="22">
        <v>1</v>
      </c>
      <c r="V719" s="3"/>
    </row>
    <row r="720" spans="1:22" s="294" customFormat="1">
      <c r="A720" s="532" t="s">
        <v>1981</v>
      </c>
      <c r="B720" s="533" t="s">
        <v>2167</v>
      </c>
      <c r="C720" s="534">
        <v>609.6</v>
      </c>
      <c r="D720" s="534">
        <v>76.2</v>
      </c>
      <c r="E720" s="534">
        <v>152.4</v>
      </c>
      <c r="F720" s="534">
        <v>101.6</v>
      </c>
      <c r="G720" s="345">
        <f t="shared" si="69"/>
        <v>5.8993430399999998</v>
      </c>
      <c r="H720" s="20"/>
      <c r="I720" s="20"/>
      <c r="J720" s="75"/>
      <c r="K720" s="773"/>
      <c r="L720" s="20"/>
      <c r="M720" s="20"/>
      <c r="N720" s="20"/>
      <c r="O720" s="20"/>
      <c r="P720" s="20"/>
      <c r="Q720" s="23"/>
      <c r="R720" s="22" t="s">
        <v>16</v>
      </c>
      <c r="S720" s="22" t="s">
        <v>16</v>
      </c>
      <c r="T720" s="20">
        <f t="shared" si="70"/>
        <v>3684.7944474556516</v>
      </c>
      <c r="U720" s="22">
        <v>1</v>
      </c>
      <c r="V720" s="3"/>
    </row>
    <row r="721" spans="1:22" s="294" customFormat="1">
      <c r="A721" s="532" t="s">
        <v>1982</v>
      </c>
      <c r="B721" s="533" t="s">
        <v>2167</v>
      </c>
      <c r="C721" s="534">
        <v>609.79999999999995</v>
      </c>
      <c r="D721" s="534">
        <v>76.2</v>
      </c>
      <c r="E721" s="534">
        <v>152.4</v>
      </c>
      <c r="F721" s="534">
        <v>88.9</v>
      </c>
      <c r="G721" s="345">
        <f t="shared" si="69"/>
        <v>5.6062145939999999</v>
      </c>
      <c r="H721" s="20"/>
      <c r="I721" s="20"/>
      <c r="J721" s="75"/>
      <c r="K721" s="773"/>
      <c r="L721" s="20"/>
      <c r="M721" s="20"/>
      <c r="N721" s="20"/>
      <c r="O721" s="20"/>
      <c r="P721" s="20"/>
      <c r="Q721" s="23"/>
      <c r="R721" s="22" t="s">
        <v>16</v>
      </c>
      <c r="S721" s="22" t="s">
        <v>16</v>
      </c>
      <c r="T721" s="20">
        <f t="shared" si="70"/>
        <v>2950.2370778674604</v>
      </c>
      <c r="U721" s="22">
        <v>1</v>
      </c>
      <c r="V721" s="3"/>
    </row>
    <row r="722" spans="1:22" s="294" customFormat="1">
      <c r="A722" s="532" t="s">
        <v>1983</v>
      </c>
      <c r="B722" s="533" t="s">
        <v>2167</v>
      </c>
      <c r="C722" s="534">
        <v>609.79999999999995</v>
      </c>
      <c r="D722" s="534">
        <v>76.2</v>
      </c>
      <c r="E722" s="534">
        <v>152.4</v>
      </c>
      <c r="F722" s="534">
        <v>76.2</v>
      </c>
      <c r="G722" s="345">
        <f t="shared" si="69"/>
        <v>5.3111506680000007</v>
      </c>
      <c r="H722" s="20"/>
      <c r="I722" s="20"/>
      <c r="J722" s="75"/>
      <c r="K722" s="773"/>
      <c r="L722" s="20"/>
      <c r="M722" s="20"/>
      <c r="N722" s="20"/>
      <c r="O722" s="20"/>
      <c r="P722" s="20"/>
      <c r="Q722" s="23"/>
      <c r="R722" s="22" t="s">
        <v>16</v>
      </c>
      <c r="S722" s="22" t="s">
        <v>16</v>
      </c>
      <c r="T722" s="20">
        <f t="shared" si="70"/>
        <v>2459.9927594213582</v>
      </c>
      <c r="U722" s="22">
        <v>1</v>
      </c>
      <c r="V722" s="3"/>
    </row>
    <row r="723" spans="1:22" s="294" customFormat="1">
      <c r="A723" s="535" t="s">
        <v>1984</v>
      </c>
      <c r="B723" s="536" t="s">
        <v>2167</v>
      </c>
      <c r="C723" s="537">
        <v>685.8</v>
      </c>
      <c r="D723" s="537">
        <v>76.2</v>
      </c>
      <c r="E723" s="537">
        <v>152.4</v>
      </c>
      <c r="F723" s="537">
        <v>139.69999999999999</v>
      </c>
      <c r="G723" s="345">
        <f t="shared" si="69"/>
        <v>7.6322750580000012</v>
      </c>
      <c r="H723" s="20"/>
      <c r="I723" s="20"/>
      <c r="J723" s="75"/>
      <c r="K723" s="773"/>
      <c r="L723" s="20"/>
      <c r="M723" s="20"/>
      <c r="N723" s="20"/>
      <c r="O723" s="20"/>
      <c r="P723" s="20"/>
      <c r="Q723" s="23"/>
      <c r="R723" s="22" t="s">
        <v>16</v>
      </c>
      <c r="S723" s="22" t="s">
        <v>16</v>
      </c>
      <c r="T723" s="20">
        <f t="shared" si="70"/>
        <v>16567.910169964081</v>
      </c>
      <c r="U723" s="22">
        <v>1</v>
      </c>
      <c r="V723" s="3"/>
    </row>
    <row r="724" spans="1:22" s="294" customFormat="1">
      <c r="A724" s="535" t="s">
        <v>1985</v>
      </c>
      <c r="B724" s="536" t="s">
        <v>2167</v>
      </c>
      <c r="C724" s="537">
        <v>685.8</v>
      </c>
      <c r="D724" s="537">
        <v>76.2</v>
      </c>
      <c r="E724" s="537">
        <v>152.4</v>
      </c>
      <c r="F724" s="537">
        <v>127</v>
      </c>
      <c r="G724" s="345">
        <f t="shared" si="69"/>
        <v>7.3004370119999988</v>
      </c>
      <c r="H724" s="20"/>
      <c r="I724" s="20"/>
      <c r="J724" s="75"/>
      <c r="K724" s="773"/>
      <c r="L724" s="20"/>
      <c r="M724" s="20"/>
      <c r="N724" s="20"/>
      <c r="O724" s="20"/>
      <c r="P724" s="20"/>
      <c r="Q724" s="23"/>
      <c r="R724" s="22" t="s">
        <v>16</v>
      </c>
      <c r="S724" s="22" t="s">
        <v>16</v>
      </c>
      <c r="T724" s="20">
        <f t="shared" si="70"/>
        <v>8285.0202486173785</v>
      </c>
      <c r="U724" s="22">
        <v>1</v>
      </c>
      <c r="V724" s="3"/>
    </row>
    <row r="725" spans="1:22" s="294" customFormat="1">
      <c r="A725" s="535" t="s">
        <v>1986</v>
      </c>
      <c r="B725" s="536" t="s">
        <v>2167</v>
      </c>
      <c r="C725" s="537">
        <v>685.8</v>
      </c>
      <c r="D725" s="537">
        <v>76.2</v>
      </c>
      <c r="E725" s="537">
        <v>152.4</v>
      </c>
      <c r="F725" s="537">
        <v>123.8</v>
      </c>
      <c r="G725" s="345">
        <f t="shared" si="69"/>
        <v>7.2168242759999988</v>
      </c>
      <c r="H725" s="20"/>
      <c r="I725" s="20"/>
      <c r="J725" s="75"/>
      <c r="K725" s="773"/>
      <c r="L725" s="20"/>
      <c r="M725" s="20"/>
      <c r="N725" s="20"/>
      <c r="O725" s="20"/>
      <c r="P725" s="20"/>
      <c r="Q725" s="23"/>
      <c r="R725" s="22" t="s">
        <v>16</v>
      </c>
      <c r="S725" s="22" t="s">
        <v>16</v>
      </c>
      <c r="T725" s="20">
        <f t="shared" si="70"/>
        <v>7358.3627772298842</v>
      </c>
      <c r="U725" s="22">
        <v>1</v>
      </c>
      <c r="V725" s="3"/>
    </row>
    <row r="726" spans="1:22" s="294" customFormat="1">
      <c r="A726" s="535" t="s">
        <v>1987</v>
      </c>
      <c r="B726" s="536" t="s">
        <v>2167</v>
      </c>
      <c r="C726" s="537">
        <v>685.8</v>
      </c>
      <c r="D726" s="537">
        <v>76.2</v>
      </c>
      <c r="E726" s="537">
        <v>152.4</v>
      </c>
      <c r="F726" s="537">
        <v>122.2</v>
      </c>
      <c r="G726" s="345">
        <f t="shared" si="69"/>
        <v>7.1750179080000009</v>
      </c>
      <c r="H726" s="20"/>
      <c r="I726" s="20"/>
      <c r="J726" s="75"/>
      <c r="K726" s="773"/>
      <c r="L726" s="20"/>
      <c r="M726" s="20"/>
      <c r="N726" s="20"/>
      <c r="O726" s="20"/>
      <c r="P726" s="20"/>
      <c r="Q726" s="23"/>
      <c r="R726" s="22" t="s">
        <v>16</v>
      </c>
      <c r="S726" s="22" t="s">
        <v>16</v>
      </c>
      <c r="T726" s="20">
        <f t="shared" si="70"/>
        <v>6968.6899066919941</v>
      </c>
      <c r="U726" s="22">
        <v>1</v>
      </c>
      <c r="V726" s="3"/>
    </row>
    <row r="727" spans="1:22" s="294" customFormat="1">
      <c r="A727" s="535" t="s">
        <v>1988</v>
      </c>
      <c r="B727" s="536" t="s">
        <v>2167</v>
      </c>
      <c r="C727" s="537">
        <v>685.8</v>
      </c>
      <c r="D727" s="537">
        <v>76.2</v>
      </c>
      <c r="E727" s="537">
        <v>152.4</v>
      </c>
      <c r="F727" s="537">
        <v>114.3</v>
      </c>
      <c r="G727" s="345">
        <f t="shared" si="69"/>
        <v>6.9685989660000001</v>
      </c>
      <c r="H727" s="20"/>
      <c r="I727" s="20"/>
      <c r="J727" s="75"/>
      <c r="K727" s="773"/>
      <c r="L727" s="20"/>
      <c r="M727" s="20"/>
      <c r="N727" s="20"/>
      <c r="O727" s="20"/>
      <c r="P727" s="20"/>
      <c r="Q727" s="23"/>
      <c r="R727" s="22" t="s">
        <v>16</v>
      </c>
      <c r="S727" s="22" t="s">
        <v>16</v>
      </c>
      <c r="T727" s="20">
        <f t="shared" si="70"/>
        <v>5524.5301447272404</v>
      </c>
      <c r="U727" s="22">
        <v>1</v>
      </c>
      <c r="V727" s="3"/>
    </row>
    <row r="728" spans="1:22" s="294" customFormat="1">
      <c r="A728" s="535" t="s">
        <v>1989</v>
      </c>
      <c r="B728" s="536" t="s">
        <v>2167</v>
      </c>
      <c r="C728" s="537">
        <v>685.8</v>
      </c>
      <c r="D728" s="537">
        <v>76.2</v>
      </c>
      <c r="E728" s="537">
        <v>152.4</v>
      </c>
      <c r="F728" s="537">
        <v>101.6</v>
      </c>
      <c r="G728" s="345">
        <f t="shared" si="69"/>
        <v>6.6367609199999986</v>
      </c>
      <c r="H728" s="20"/>
      <c r="I728" s="20"/>
      <c r="J728" s="75"/>
      <c r="K728" s="773"/>
      <c r="L728" s="20"/>
      <c r="M728" s="20"/>
      <c r="N728" s="20"/>
      <c r="O728" s="20"/>
      <c r="P728" s="20"/>
      <c r="Q728" s="23"/>
      <c r="R728" s="22" t="s">
        <v>16</v>
      </c>
      <c r="S728" s="22" t="s">
        <v>16</v>
      </c>
      <c r="T728" s="20">
        <f t="shared" si="70"/>
        <v>4144.6397672174107</v>
      </c>
      <c r="U728" s="22">
        <v>1</v>
      </c>
      <c r="V728" s="3"/>
    </row>
    <row r="729" spans="1:22" s="294" customFormat="1">
      <c r="A729" s="535" t="s">
        <v>1990</v>
      </c>
      <c r="B729" s="536" t="s">
        <v>2167</v>
      </c>
      <c r="C729" s="537">
        <v>685.8</v>
      </c>
      <c r="D729" s="537">
        <v>76.2</v>
      </c>
      <c r="E729" s="537">
        <v>152.4</v>
      </c>
      <c r="F729" s="537">
        <v>88.9</v>
      </c>
      <c r="G729" s="345">
        <f t="shared" si="69"/>
        <v>6.3049228739999998</v>
      </c>
      <c r="H729" s="20"/>
      <c r="I729" s="20"/>
      <c r="J729" s="75"/>
      <c r="K729" s="773"/>
      <c r="L729" s="20"/>
      <c r="M729" s="20"/>
      <c r="N729" s="20"/>
      <c r="O729" s="20"/>
      <c r="P729" s="20"/>
      <c r="Q729" s="23"/>
      <c r="R729" s="22" t="s">
        <v>16</v>
      </c>
      <c r="S729" s="22" t="s">
        <v>16</v>
      </c>
      <c r="T729" s="20">
        <f t="shared" si="70"/>
        <v>3316.9890252456366</v>
      </c>
      <c r="U729" s="22">
        <v>1</v>
      </c>
      <c r="V729" s="3"/>
    </row>
    <row r="730" spans="1:22" s="294" customFormat="1">
      <c r="A730" s="538" t="s">
        <v>1991</v>
      </c>
      <c r="B730" s="539" t="s">
        <v>2167</v>
      </c>
      <c r="C730" s="540">
        <v>762</v>
      </c>
      <c r="D730" s="540">
        <v>76.2</v>
      </c>
      <c r="E730" s="540">
        <v>152.4</v>
      </c>
      <c r="F730" s="540">
        <v>139.69999999999999</v>
      </c>
      <c r="G730" s="345">
        <f t="shared" si="69"/>
        <v>8.4803056200000011</v>
      </c>
      <c r="H730" s="20"/>
      <c r="I730" s="20"/>
      <c r="J730" s="75"/>
      <c r="K730" s="773"/>
      <c r="L730" s="20"/>
      <c r="M730" s="20"/>
      <c r="N730" s="20"/>
      <c r="O730" s="20"/>
      <c r="P730" s="20"/>
      <c r="Q730" s="23"/>
      <c r="R730" s="22" t="s">
        <v>16</v>
      </c>
      <c r="S730" s="22" t="s">
        <v>16</v>
      </c>
      <c r="T730" s="20">
        <f t="shared" si="70"/>
        <v>18408.639155570381</v>
      </c>
      <c r="U730" s="22">
        <v>1</v>
      </c>
      <c r="V730" s="3"/>
    </row>
    <row r="731" spans="1:22" s="294" customFormat="1">
      <c r="A731" s="538" t="s">
        <v>1992</v>
      </c>
      <c r="B731" s="539" t="s">
        <v>2167</v>
      </c>
      <c r="C731" s="540">
        <v>762</v>
      </c>
      <c r="D731" s="540">
        <v>76.2</v>
      </c>
      <c r="E731" s="540">
        <v>152.4</v>
      </c>
      <c r="F731" s="540">
        <v>127</v>
      </c>
      <c r="G731" s="345">
        <f t="shared" si="69"/>
        <v>8.1115966799999999</v>
      </c>
      <c r="H731" s="20"/>
      <c r="I731" s="20"/>
      <c r="J731" s="75"/>
      <c r="K731" s="773"/>
      <c r="L731" s="20"/>
      <c r="M731" s="20"/>
      <c r="N731" s="20"/>
      <c r="O731" s="20"/>
      <c r="P731" s="20"/>
      <c r="Q731" s="23"/>
      <c r="R731" s="22" t="s">
        <v>16</v>
      </c>
      <c r="S731" s="22" t="s">
        <v>16</v>
      </c>
      <c r="T731" s="20">
        <f t="shared" si="70"/>
        <v>9205.2782445725134</v>
      </c>
      <c r="U731" s="22">
        <v>1</v>
      </c>
      <c r="V731" s="3"/>
    </row>
    <row r="732" spans="1:22" s="294" customFormat="1">
      <c r="A732" s="538" t="s">
        <v>1993</v>
      </c>
      <c r="B732" s="539" t="s">
        <v>2167</v>
      </c>
      <c r="C732" s="540">
        <v>762</v>
      </c>
      <c r="D732" s="540">
        <v>76.2</v>
      </c>
      <c r="E732" s="540">
        <v>152.4</v>
      </c>
      <c r="F732" s="540">
        <v>122.2</v>
      </c>
      <c r="G732" s="345">
        <f t="shared" si="69"/>
        <v>7.9722421200000015</v>
      </c>
      <c r="H732" s="20"/>
      <c r="I732" s="20"/>
      <c r="J732" s="75"/>
      <c r="K732" s="773"/>
      <c r="L732" s="20"/>
      <c r="M732" s="20"/>
      <c r="N732" s="20"/>
      <c r="O732" s="20"/>
      <c r="P732" s="20"/>
      <c r="Q732" s="23"/>
      <c r="R732" s="22" t="s">
        <v>16</v>
      </c>
      <c r="S732" s="22" t="s">
        <v>16</v>
      </c>
      <c r="T732" s="20">
        <f t="shared" si="70"/>
        <v>7742.6323417360709</v>
      </c>
      <c r="U732" s="22">
        <v>1</v>
      </c>
      <c r="V732" s="3"/>
    </row>
    <row r="733" spans="1:22" s="294" customFormat="1">
      <c r="A733" s="538" t="s">
        <v>1994</v>
      </c>
      <c r="B733" s="539" t="s">
        <v>2167</v>
      </c>
      <c r="C733" s="540">
        <v>762</v>
      </c>
      <c r="D733" s="540">
        <v>76.2</v>
      </c>
      <c r="E733" s="540">
        <v>152.4</v>
      </c>
      <c r="F733" s="540">
        <v>120.7</v>
      </c>
      <c r="G733" s="345">
        <f t="shared" si="69"/>
        <v>7.9286938200000003</v>
      </c>
      <c r="H733" s="20"/>
      <c r="I733" s="20"/>
      <c r="J733" s="75"/>
      <c r="K733" s="773"/>
      <c r="L733" s="20"/>
      <c r="M733" s="20"/>
      <c r="N733" s="20"/>
      <c r="O733" s="20"/>
      <c r="P733" s="20"/>
      <c r="Q733" s="23"/>
      <c r="R733" s="22" t="s">
        <v>16</v>
      </c>
      <c r="S733" s="22" t="s">
        <v>16</v>
      </c>
      <c r="T733" s="20">
        <f t="shared" si="70"/>
        <v>7376.4091078587689</v>
      </c>
      <c r="U733" s="22">
        <v>1</v>
      </c>
      <c r="V733" s="3"/>
    </row>
    <row r="734" spans="1:22" s="294" customFormat="1">
      <c r="A734" s="538" t="s">
        <v>1995</v>
      </c>
      <c r="B734" s="539" t="s">
        <v>2167</v>
      </c>
      <c r="C734" s="540">
        <v>762</v>
      </c>
      <c r="D734" s="540">
        <v>76.2</v>
      </c>
      <c r="E734" s="540">
        <v>152.4</v>
      </c>
      <c r="F734" s="540">
        <v>114.3</v>
      </c>
      <c r="G734" s="345">
        <f t="shared" si="69"/>
        <v>7.7428877400000005</v>
      </c>
      <c r="I734" s="20"/>
      <c r="J734" s="75"/>
      <c r="K734" s="773"/>
      <c r="L734" s="20"/>
      <c r="M734" s="20"/>
      <c r="N734" s="20"/>
      <c r="O734" s="20"/>
      <c r="P734" s="20"/>
      <c r="Q734" s="23"/>
      <c r="R734" s="22" t="s">
        <v>16</v>
      </c>
      <c r="S734" s="22" t="s">
        <v>16</v>
      </c>
      <c r="T734" s="20">
        <f t="shared" si="70"/>
        <v>6137.9172004842167</v>
      </c>
      <c r="U734" s="22">
        <v>1</v>
      </c>
      <c r="V734" s="3"/>
    </row>
    <row r="735" spans="1:22" s="294" customFormat="1" ht="13.8" thickBot="1">
      <c r="A735" s="538" t="s">
        <v>1996</v>
      </c>
      <c r="B735" s="539" t="s">
        <v>2167</v>
      </c>
      <c r="C735" s="540">
        <v>762</v>
      </c>
      <c r="D735" s="540">
        <v>76.2</v>
      </c>
      <c r="E735" s="540">
        <v>152.4</v>
      </c>
      <c r="F735" s="540">
        <v>101.6</v>
      </c>
      <c r="G735" s="345">
        <f t="shared" si="69"/>
        <v>7.3741788000000001</v>
      </c>
      <c r="H735" s="20"/>
      <c r="I735" s="82"/>
      <c r="J735" s="83"/>
      <c r="K735" s="773"/>
      <c r="L735" s="20"/>
      <c r="M735" s="20"/>
      <c r="N735" s="20"/>
      <c r="O735" s="20"/>
      <c r="P735" s="20"/>
      <c r="Q735" s="23"/>
      <c r="R735" s="22" t="s">
        <v>16</v>
      </c>
      <c r="S735" s="22" t="s">
        <v>16</v>
      </c>
      <c r="T735" s="20">
        <f t="shared" si="70"/>
        <v>4604.5559568757544</v>
      </c>
      <c r="U735" s="22">
        <v>1</v>
      </c>
      <c r="V735" s="3"/>
    </row>
    <row r="736" spans="1:22" ht="25.2" thickBot="1">
      <c r="A736" s="64" t="s">
        <v>1756</v>
      </c>
      <c r="B736" s="72"/>
      <c r="C736" s="72"/>
      <c r="D736" s="72"/>
      <c r="E736" s="72"/>
      <c r="F736" s="72"/>
      <c r="G736" s="102"/>
      <c r="H736" s="72"/>
      <c r="I736" s="72"/>
      <c r="J736" s="72"/>
      <c r="K736" s="74"/>
      <c r="L736" s="20"/>
      <c r="M736" s="20"/>
      <c r="N736" s="20"/>
      <c r="O736" s="20"/>
      <c r="P736" s="20"/>
      <c r="Q736" s="21"/>
      <c r="R736" s="22"/>
      <c r="S736" s="22"/>
      <c r="T736" s="20"/>
      <c r="U736" s="22"/>
      <c r="V736" s="20"/>
    </row>
    <row r="737" spans="1:22" s="294" customFormat="1">
      <c r="A737" s="545">
        <v>5120</v>
      </c>
      <c r="B737" s="77" t="s">
        <v>2167</v>
      </c>
      <c r="C737" s="77">
        <v>200</v>
      </c>
      <c r="D737" s="77">
        <v>100</v>
      </c>
      <c r="E737" s="77">
        <v>108</v>
      </c>
      <c r="F737" s="77">
        <v>100</v>
      </c>
      <c r="G737" s="21">
        <f t="shared" ref="G737:G769" si="71">IF(B737="","",AVERAGE(E737:F737)*D737*C737/10^6)</f>
        <v>2.08</v>
      </c>
      <c r="H737" s="78">
        <f t="shared" ref="H737:H769" si="72">ROUND(C737*E737*F737/10^6,3)</f>
        <v>2.16</v>
      </c>
      <c r="I737" s="78">
        <f t="shared" ref="I737:I769" si="73">IF(D737="","-",ROUND((F737+D737)*C737/2*E737/10^6,3))</f>
        <v>2.16</v>
      </c>
      <c r="J737" s="79">
        <f t="shared" ref="J737:J769" si="74">IF(D737="","-",ROUND((E737+F737)*C737/2*D737/10^6,3))</f>
        <v>2.08</v>
      </c>
      <c r="K737" s="767"/>
      <c r="L737" s="20"/>
      <c r="M737" s="20"/>
      <c r="N737" s="20"/>
      <c r="O737" s="20"/>
      <c r="P737" s="20"/>
      <c r="Q737" s="21"/>
      <c r="R737" s="22" t="s">
        <v>16</v>
      </c>
      <c r="S737" s="22">
        <v>2</v>
      </c>
      <c r="T737" s="20">
        <f t="shared" ref="T737:T769" si="75">(E737+U737)/2/(SIN(RADIANS((ATAN(((E737+U737)-(F737+U737))/2/C737)*180/PI()))))*2</f>
        <v>5401.0798920215939</v>
      </c>
      <c r="U737" s="22">
        <v>0</v>
      </c>
      <c r="V737" s="20" t="str">
        <f t="shared" ref="V737:V769" si="76">B737&amp;"-"&amp;C737&amp;"x"&amp;E737&amp;"x"&amp;D737</f>
        <v>K-200x108x100</v>
      </c>
    </row>
    <row r="738" spans="1:22" s="294" customFormat="1">
      <c r="A738" s="293">
        <v>3120</v>
      </c>
      <c r="B738" s="2" t="s">
        <v>2167</v>
      </c>
      <c r="C738" s="2">
        <v>200</v>
      </c>
      <c r="D738" s="2">
        <v>100</v>
      </c>
      <c r="E738" s="2">
        <v>113</v>
      </c>
      <c r="F738" s="2">
        <v>100</v>
      </c>
      <c r="G738" s="21">
        <f t="shared" si="71"/>
        <v>2.13</v>
      </c>
      <c r="H738" s="20">
        <f t="shared" si="72"/>
        <v>2.2599999999999998</v>
      </c>
      <c r="I738" s="20">
        <f t="shared" si="73"/>
        <v>2.2599999999999998</v>
      </c>
      <c r="J738" s="75">
        <f t="shared" si="74"/>
        <v>2.13</v>
      </c>
      <c r="K738" s="767"/>
      <c r="L738" s="20"/>
      <c r="M738" s="20"/>
      <c r="N738" s="20"/>
      <c r="O738" s="20"/>
      <c r="P738" s="20"/>
      <c r="Q738" s="21"/>
      <c r="R738" s="22" t="s">
        <v>16</v>
      </c>
      <c r="S738" s="22">
        <v>2</v>
      </c>
      <c r="T738" s="20">
        <f t="shared" si="75"/>
        <v>3478.7588422942222</v>
      </c>
      <c r="U738" s="22">
        <v>0</v>
      </c>
      <c r="V738" s="20" t="str">
        <f t="shared" si="76"/>
        <v>K-200x113x100</v>
      </c>
    </row>
    <row r="739" spans="1:22" s="294" customFormat="1">
      <c r="A739" s="293" t="s">
        <v>2113</v>
      </c>
      <c r="B739" s="2" t="s">
        <v>2167</v>
      </c>
      <c r="C739" s="2">
        <v>230</v>
      </c>
      <c r="D739" s="2">
        <v>64</v>
      </c>
      <c r="E739" s="2">
        <v>119</v>
      </c>
      <c r="F739" s="2">
        <v>109</v>
      </c>
      <c r="G739" s="21">
        <f t="shared" si="71"/>
        <v>1.67808</v>
      </c>
      <c r="H739" s="20">
        <f t="shared" si="72"/>
        <v>2.9830000000000001</v>
      </c>
      <c r="I739" s="20">
        <f t="shared" si="73"/>
        <v>2.3679999999999999</v>
      </c>
      <c r="J739" s="75">
        <f t="shared" si="74"/>
        <v>1.6779999999999999</v>
      </c>
      <c r="K739" s="767"/>
      <c r="L739" s="20"/>
      <c r="M739" s="20"/>
      <c r="N739" s="20"/>
      <c r="O739" s="20"/>
      <c r="P739" s="20"/>
      <c r="Q739" s="21"/>
      <c r="R739" s="22" t="s">
        <v>16</v>
      </c>
      <c r="S739" s="22">
        <v>2</v>
      </c>
      <c r="T739" s="20">
        <f t="shared" si="75"/>
        <v>5475.2933254758145</v>
      </c>
      <c r="U739" s="22">
        <v>0</v>
      </c>
      <c r="V739" s="20" t="str">
        <f t="shared" si="76"/>
        <v>K-230x119x64</v>
      </c>
    </row>
    <row r="740" spans="1:22" s="294" customFormat="1">
      <c r="A740" s="293" t="s">
        <v>429</v>
      </c>
      <c r="B740" s="2" t="s">
        <v>2167</v>
      </c>
      <c r="C740" s="2">
        <v>230</v>
      </c>
      <c r="D740" s="2">
        <v>76</v>
      </c>
      <c r="E740" s="2">
        <v>119</v>
      </c>
      <c r="F740" s="2">
        <v>109</v>
      </c>
      <c r="G740" s="21">
        <f t="shared" si="71"/>
        <v>1.99272</v>
      </c>
      <c r="H740" s="20">
        <f t="shared" si="72"/>
        <v>2.9830000000000001</v>
      </c>
      <c r="I740" s="20">
        <f t="shared" si="73"/>
        <v>2.532</v>
      </c>
      <c r="J740" s="75">
        <f t="shared" si="74"/>
        <v>1.9930000000000001</v>
      </c>
      <c r="K740" s="767"/>
      <c r="L740" s="20"/>
      <c r="M740" s="20"/>
      <c r="N740" s="20"/>
      <c r="O740" s="20"/>
      <c r="P740" s="20"/>
      <c r="Q740" s="21"/>
      <c r="R740" s="22" t="s">
        <v>16</v>
      </c>
      <c r="S740" s="22">
        <v>2</v>
      </c>
      <c r="T740" s="20">
        <f t="shared" si="75"/>
        <v>5475.2933254758145</v>
      </c>
      <c r="U740" s="22">
        <v>0</v>
      </c>
      <c r="V740" s="20" t="str">
        <f t="shared" si="76"/>
        <v>K-230x119x76</v>
      </c>
    </row>
    <row r="741" spans="1:22" s="294" customFormat="1">
      <c r="A741" s="293" t="s">
        <v>2114</v>
      </c>
      <c r="B741" s="2" t="s">
        <v>2167</v>
      </c>
      <c r="C741" s="2">
        <v>230</v>
      </c>
      <c r="D741" s="2">
        <v>64</v>
      </c>
      <c r="E741" s="2">
        <v>121</v>
      </c>
      <c r="F741" s="2">
        <v>107</v>
      </c>
      <c r="G741" s="21">
        <f t="shared" si="71"/>
        <v>1.67808</v>
      </c>
      <c r="H741" s="20">
        <f t="shared" si="72"/>
        <v>2.9780000000000002</v>
      </c>
      <c r="I741" s="20">
        <f t="shared" si="73"/>
        <v>2.379</v>
      </c>
      <c r="J741" s="75">
        <f t="shared" si="74"/>
        <v>1.6779999999999999</v>
      </c>
      <c r="K741" s="767"/>
      <c r="L741" s="20"/>
      <c r="M741" s="20"/>
      <c r="N741" s="20"/>
      <c r="O741" s="20"/>
      <c r="P741" s="20"/>
      <c r="Q741" s="21"/>
      <c r="R741" s="22" t="s">
        <v>16</v>
      </c>
      <c r="S741" s="22">
        <v>2</v>
      </c>
      <c r="T741" s="20">
        <f t="shared" si="75"/>
        <v>3977.5551638704715</v>
      </c>
      <c r="U741" s="22">
        <v>0</v>
      </c>
      <c r="V741" s="20" t="str">
        <f t="shared" si="76"/>
        <v>K-230x121x64</v>
      </c>
    </row>
    <row r="742" spans="1:22" s="294" customFormat="1">
      <c r="A742" s="293" t="s">
        <v>430</v>
      </c>
      <c r="B742" s="2" t="s">
        <v>2167</v>
      </c>
      <c r="C742" s="2">
        <v>230</v>
      </c>
      <c r="D742" s="2">
        <v>76</v>
      </c>
      <c r="E742" s="2">
        <v>121</v>
      </c>
      <c r="F742" s="2">
        <v>107</v>
      </c>
      <c r="G742" s="21">
        <f t="shared" si="71"/>
        <v>1.99272</v>
      </c>
      <c r="H742" s="20">
        <f t="shared" si="72"/>
        <v>2.9780000000000002</v>
      </c>
      <c r="I742" s="20">
        <f t="shared" si="73"/>
        <v>2.5459999999999998</v>
      </c>
      <c r="J742" s="75">
        <f t="shared" si="74"/>
        <v>1.9930000000000001</v>
      </c>
      <c r="K742" s="767"/>
      <c r="L742" s="20"/>
      <c r="M742" s="20"/>
      <c r="N742" s="20"/>
      <c r="O742" s="20"/>
      <c r="P742" s="20"/>
      <c r="Q742" s="21"/>
      <c r="R742" s="22" t="s">
        <v>16</v>
      </c>
      <c r="S742" s="22">
        <v>2</v>
      </c>
      <c r="T742" s="20">
        <f t="shared" si="75"/>
        <v>3977.5551638704715</v>
      </c>
      <c r="U742" s="22">
        <v>0</v>
      </c>
      <c r="V742" s="20" t="str">
        <f t="shared" si="76"/>
        <v>K-230x121x76</v>
      </c>
    </row>
    <row r="743" spans="1:22" s="294" customFormat="1">
      <c r="A743" s="293" t="s">
        <v>2115</v>
      </c>
      <c r="B743" s="2" t="s">
        <v>2167</v>
      </c>
      <c r="C743" s="2">
        <v>230</v>
      </c>
      <c r="D743" s="2">
        <v>64</v>
      </c>
      <c r="E743" s="2">
        <v>128</v>
      </c>
      <c r="F743" s="2">
        <v>100</v>
      </c>
      <c r="G743" s="21">
        <f t="shared" si="71"/>
        <v>1.67808</v>
      </c>
      <c r="H743" s="20">
        <f t="shared" si="72"/>
        <v>2.944</v>
      </c>
      <c r="I743" s="20">
        <f t="shared" si="73"/>
        <v>2.4140000000000001</v>
      </c>
      <c r="J743" s="75">
        <f t="shared" si="74"/>
        <v>1.6779999999999999</v>
      </c>
      <c r="K743" s="767"/>
      <c r="L743" s="20"/>
      <c r="M743" s="20"/>
      <c r="N743" s="20"/>
      <c r="O743" s="20"/>
      <c r="P743" s="20"/>
      <c r="Q743" s="21"/>
      <c r="R743" s="22" t="s">
        <v>16</v>
      </c>
      <c r="S743" s="22">
        <v>2</v>
      </c>
      <c r="T743" s="20">
        <f t="shared" si="75"/>
        <v>2106.7491932513722</v>
      </c>
      <c r="U743" s="22">
        <v>0</v>
      </c>
      <c r="V743" s="20" t="str">
        <f t="shared" si="76"/>
        <v>K-230x128x64</v>
      </c>
    </row>
    <row r="744" spans="1:22" s="294" customFormat="1">
      <c r="A744" s="293" t="s">
        <v>431</v>
      </c>
      <c r="B744" s="2" t="s">
        <v>2167</v>
      </c>
      <c r="C744" s="2">
        <v>230</v>
      </c>
      <c r="D744" s="2">
        <v>76</v>
      </c>
      <c r="E744" s="2">
        <v>128</v>
      </c>
      <c r="F744" s="2">
        <v>100</v>
      </c>
      <c r="G744" s="21">
        <f t="shared" si="71"/>
        <v>1.99272</v>
      </c>
      <c r="H744" s="20">
        <f t="shared" si="72"/>
        <v>2.944</v>
      </c>
      <c r="I744" s="20">
        <f t="shared" si="73"/>
        <v>2.5910000000000002</v>
      </c>
      <c r="J744" s="75">
        <f t="shared" si="74"/>
        <v>1.9930000000000001</v>
      </c>
      <c r="K744" s="767"/>
      <c r="L744" s="20"/>
      <c r="M744" s="20"/>
      <c r="N744" s="20"/>
      <c r="O744" s="20"/>
      <c r="P744" s="20"/>
      <c r="Q744" s="21"/>
      <c r="R744" s="22" t="s">
        <v>16</v>
      </c>
      <c r="S744" s="22">
        <v>2</v>
      </c>
      <c r="T744" s="20">
        <f t="shared" si="75"/>
        <v>2106.7491932513722</v>
      </c>
      <c r="U744" s="22">
        <v>0</v>
      </c>
      <c r="V744" s="20" t="str">
        <f t="shared" si="76"/>
        <v>K-230x128x76</v>
      </c>
    </row>
    <row r="745" spans="1:22" s="294" customFormat="1">
      <c r="A745" s="293" t="s">
        <v>2116</v>
      </c>
      <c r="B745" s="2" t="s">
        <v>2167</v>
      </c>
      <c r="C745" s="2">
        <v>230</v>
      </c>
      <c r="D745" s="2">
        <v>64</v>
      </c>
      <c r="E745" s="2">
        <v>139</v>
      </c>
      <c r="F745" s="2">
        <v>89</v>
      </c>
      <c r="G745" s="21">
        <f t="shared" si="71"/>
        <v>1.67808</v>
      </c>
      <c r="H745" s="20">
        <f t="shared" si="72"/>
        <v>2.8450000000000002</v>
      </c>
      <c r="I745" s="20">
        <f t="shared" si="73"/>
        <v>2.4460000000000002</v>
      </c>
      <c r="J745" s="75">
        <f t="shared" si="74"/>
        <v>1.6779999999999999</v>
      </c>
      <c r="K745" s="767"/>
      <c r="L745" s="20"/>
      <c r="M745" s="20"/>
      <c r="N745" s="20"/>
      <c r="O745" s="20"/>
      <c r="P745" s="20"/>
      <c r="Q745" s="21"/>
      <c r="R745" s="22" t="s">
        <v>16</v>
      </c>
      <c r="S745" s="22">
        <v>2</v>
      </c>
      <c r="T745" s="20">
        <f t="shared" si="75"/>
        <v>1286.3321655000314</v>
      </c>
      <c r="U745" s="22">
        <v>0</v>
      </c>
      <c r="V745" s="20" t="str">
        <f t="shared" si="76"/>
        <v>K-230x139x64</v>
      </c>
    </row>
    <row r="746" spans="1:22" s="294" customFormat="1">
      <c r="A746" s="293" t="s">
        <v>2117</v>
      </c>
      <c r="B746" s="2" t="s">
        <v>2167</v>
      </c>
      <c r="C746" s="2">
        <v>230</v>
      </c>
      <c r="D746" s="2">
        <v>76</v>
      </c>
      <c r="E746" s="2">
        <v>139</v>
      </c>
      <c r="F746" s="2">
        <v>89</v>
      </c>
      <c r="G746" s="21">
        <f t="shared" si="71"/>
        <v>1.99272</v>
      </c>
      <c r="H746" s="20">
        <f t="shared" si="72"/>
        <v>2.8450000000000002</v>
      </c>
      <c r="I746" s="20">
        <f t="shared" si="73"/>
        <v>2.6379999999999999</v>
      </c>
      <c r="J746" s="75">
        <f t="shared" si="74"/>
        <v>1.9930000000000001</v>
      </c>
      <c r="K746" s="767"/>
      <c r="L746" s="20"/>
      <c r="M746" s="20"/>
      <c r="N746" s="20"/>
      <c r="O746" s="20"/>
      <c r="P746" s="20"/>
      <c r="Q746" s="21"/>
      <c r="R746" s="22" t="s">
        <v>16</v>
      </c>
      <c r="S746" s="22">
        <v>2</v>
      </c>
      <c r="T746" s="20">
        <f t="shared" si="75"/>
        <v>1286.3321655000314</v>
      </c>
      <c r="U746" s="22">
        <v>0</v>
      </c>
      <c r="V746" s="20" t="str">
        <f t="shared" si="76"/>
        <v>K-230x139x76</v>
      </c>
    </row>
    <row r="747" spans="1:22" s="294" customFormat="1">
      <c r="A747" s="293" t="s">
        <v>2118</v>
      </c>
      <c r="B747" s="2" t="s">
        <v>2167</v>
      </c>
      <c r="C747" s="2">
        <v>230</v>
      </c>
      <c r="D747" s="2">
        <v>64</v>
      </c>
      <c r="E747" s="2">
        <v>179</v>
      </c>
      <c r="F747" s="2">
        <v>165</v>
      </c>
      <c r="G747" s="21">
        <f t="shared" si="71"/>
        <v>2.5318399999999999</v>
      </c>
      <c r="H747" s="20">
        <f t="shared" si="72"/>
        <v>6.7930000000000001</v>
      </c>
      <c r="I747" s="20">
        <f t="shared" si="73"/>
        <v>4.7140000000000004</v>
      </c>
      <c r="J747" s="75">
        <f t="shared" si="74"/>
        <v>2.532</v>
      </c>
      <c r="K747" s="767"/>
      <c r="L747" s="20"/>
      <c r="M747" s="20"/>
      <c r="N747" s="20"/>
      <c r="O747" s="20"/>
      <c r="P747" s="20"/>
      <c r="Q747" s="21"/>
      <c r="R747" s="22" t="s">
        <v>16</v>
      </c>
      <c r="S747" s="22">
        <v>2</v>
      </c>
      <c r="T747" s="20">
        <f t="shared" si="75"/>
        <v>5884.1518539902017</v>
      </c>
      <c r="U747" s="22">
        <v>0</v>
      </c>
      <c r="V747" s="20" t="str">
        <f t="shared" si="76"/>
        <v>K-230x179x64</v>
      </c>
    </row>
    <row r="748" spans="1:22" s="294" customFormat="1">
      <c r="A748" s="293" t="s">
        <v>2119</v>
      </c>
      <c r="B748" s="2" t="s">
        <v>2167</v>
      </c>
      <c r="C748" s="2">
        <v>230</v>
      </c>
      <c r="D748" s="2">
        <v>76</v>
      </c>
      <c r="E748" s="2">
        <v>179</v>
      </c>
      <c r="F748" s="2">
        <v>165</v>
      </c>
      <c r="G748" s="21">
        <f t="shared" si="71"/>
        <v>3.0065599999999999</v>
      </c>
      <c r="H748" s="20">
        <f t="shared" si="72"/>
        <v>6.7930000000000001</v>
      </c>
      <c r="I748" s="20">
        <f t="shared" si="73"/>
        <v>4.9610000000000003</v>
      </c>
      <c r="J748" s="75">
        <f t="shared" si="74"/>
        <v>3.0070000000000001</v>
      </c>
      <c r="K748" s="767"/>
      <c r="L748" s="20"/>
      <c r="M748" s="20"/>
      <c r="N748" s="20"/>
      <c r="O748" s="20"/>
      <c r="P748" s="20"/>
      <c r="Q748" s="21"/>
      <c r="R748" s="22" t="s">
        <v>16</v>
      </c>
      <c r="S748" s="22">
        <v>2</v>
      </c>
      <c r="T748" s="20">
        <f t="shared" si="75"/>
        <v>5884.1518539902017</v>
      </c>
      <c r="U748" s="22">
        <v>0</v>
      </c>
      <c r="V748" s="20" t="str">
        <f t="shared" si="76"/>
        <v>K-230x179x76</v>
      </c>
    </row>
    <row r="749" spans="1:22" s="294" customFormat="1">
      <c r="A749" s="293" t="s">
        <v>2120</v>
      </c>
      <c r="B749" s="2" t="s">
        <v>2167</v>
      </c>
      <c r="C749" s="2">
        <v>250</v>
      </c>
      <c r="D749" s="2">
        <v>64</v>
      </c>
      <c r="E749" s="2">
        <v>129</v>
      </c>
      <c r="F749" s="2">
        <v>119</v>
      </c>
      <c r="G749" s="21">
        <f t="shared" si="71"/>
        <v>1.984</v>
      </c>
      <c r="H749" s="20">
        <f t="shared" si="72"/>
        <v>3.8380000000000001</v>
      </c>
      <c r="I749" s="20">
        <f t="shared" si="73"/>
        <v>2.9510000000000001</v>
      </c>
      <c r="J749" s="75">
        <f t="shared" si="74"/>
        <v>1.984</v>
      </c>
      <c r="K749" s="767"/>
      <c r="L749" s="20"/>
      <c r="M749" s="20"/>
      <c r="N749" s="20"/>
      <c r="O749" s="20"/>
      <c r="P749" s="20"/>
      <c r="Q749" s="21"/>
      <c r="R749" s="22" t="s">
        <v>16</v>
      </c>
      <c r="S749" s="22">
        <v>2</v>
      </c>
      <c r="T749" s="20">
        <f t="shared" si="75"/>
        <v>6451.2898710257932</v>
      </c>
      <c r="U749" s="22">
        <v>0</v>
      </c>
      <c r="V749" s="20" t="str">
        <f t="shared" si="76"/>
        <v>K-250x129x64</v>
      </c>
    </row>
    <row r="750" spans="1:22" s="294" customFormat="1">
      <c r="A750" s="293" t="s">
        <v>432</v>
      </c>
      <c r="B750" s="2" t="s">
        <v>2167</v>
      </c>
      <c r="C750" s="2">
        <v>250</v>
      </c>
      <c r="D750" s="2">
        <v>76</v>
      </c>
      <c r="E750" s="2">
        <v>129</v>
      </c>
      <c r="F750" s="2">
        <v>119</v>
      </c>
      <c r="G750" s="21">
        <f t="shared" si="71"/>
        <v>2.3559999999999999</v>
      </c>
      <c r="H750" s="20">
        <f t="shared" si="72"/>
        <v>3.8380000000000001</v>
      </c>
      <c r="I750" s="20">
        <f t="shared" si="73"/>
        <v>3.1440000000000001</v>
      </c>
      <c r="J750" s="75">
        <f t="shared" si="74"/>
        <v>2.3559999999999999</v>
      </c>
      <c r="K750" s="767"/>
      <c r="L750" s="20"/>
      <c r="M750" s="20"/>
      <c r="N750" s="20"/>
      <c r="O750" s="20"/>
      <c r="P750" s="20"/>
      <c r="Q750" s="21"/>
      <c r="R750" s="22" t="s">
        <v>16</v>
      </c>
      <c r="S750" s="22">
        <v>2</v>
      </c>
      <c r="T750" s="20">
        <f t="shared" si="75"/>
        <v>6451.2898710257932</v>
      </c>
      <c r="U750" s="22">
        <v>0</v>
      </c>
      <c r="V750" s="20" t="str">
        <f t="shared" si="76"/>
        <v>K-250x129x76</v>
      </c>
    </row>
    <row r="751" spans="1:22" s="294" customFormat="1">
      <c r="A751" s="293" t="s">
        <v>601</v>
      </c>
      <c r="B751" s="2" t="s">
        <v>2167</v>
      </c>
      <c r="C751" s="2">
        <v>250</v>
      </c>
      <c r="D751" s="2">
        <v>64</v>
      </c>
      <c r="E751" s="2">
        <v>131</v>
      </c>
      <c r="F751" s="2">
        <v>117</v>
      </c>
      <c r="G751" s="21">
        <f t="shared" si="71"/>
        <v>1.984</v>
      </c>
      <c r="H751" s="20">
        <f t="shared" si="72"/>
        <v>3.8319999999999999</v>
      </c>
      <c r="I751" s="20">
        <f t="shared" si="73"/>
        <v>2.964</v>
      </c>
      <c r="J751" s="75">
        <f t="shared" si="74"/>
        <v>1.984</v>
      </c>
      <c r="K751" s="767"/>
      <c r="L751" s="20"/>
      <c r="M751" s="20"/>
      <c r="N751" s="20"/>
      <c r="O751" s="20"/>
      <c r="P751" s="20"/>
      <c r="Q751" s="21"/>
      <c r="R751" s="22" t="s">
        <v>16</v>
      </c>
      <c r="S751" s="22">
        <v>2</v>
      </c>
      <c r="T751" s="20">
        <f t="shared" si="75"/>
        <v>4680.4050692482697</v>
      </c>
      <c r="U751" s="22">
        <v>0</v>
      </c>
      <c r="V751" s="20" t="str">
        <f t="shared" si="76"/>
        <v>K-250x131x64</v>
      </c>
    </row>
    <row r="752" spans="1:22" s="294" customFormat="1">
      <c r="A752" s="293" t="s">
        <v>444</v>
      </c>
      <c r="B752" s="2" t="s">
        <v>2167</v>
      </c>
      <c r="C752" s="2">
        <v>250</v>
      </c>
      <c r="D752" s="2">
        <v>76</v>
      </c>
      <c r="E752" s="2">
        <v>131</v>
      </c>
      <c r="F752" s="2">
        <v>117</v>
      </c>
      <c r="G752" s="21">
        <f t="shared" si="71"/>
        <v>2.3559999999999999</v>
      </c>
      <c r="H752" s="20">
        <f t="shared" si="72"/>
        <v>3.8319999999999999</v>
      </c>
      <c r="I752" s="20">
        <f t="shared" si="73"/>
        <v>3.16</v>
      </c>
      <c r="J752" s="75">
        <f t="shared" si="74"/>
        <v>2.3559999999999999</v>
      </c>
      <c r="K752" s="767"/>
      <c r="L752" s="20"/>
      <c r="M752" s="20"/>
      <c r="N752" s="20"/>
      <c r="O752" s="20"/>
      <c r="P752" s="20"/>
      <c r="Q752" s="21"/>
      <c r="R752" s="22" t="s">
        <v>16</v>
      </c>
      <c r="S752" s="22">
        <v>2</v>
      </c>
      <c r="T752" s="20">
        <f t="shared" si="75"/>
        <v>4680.4050692482697</v>
      </c>
      <c r="U752" s="22">
        <v>0</v>
      </c>
      <c r="V752" s="20" t="str">
        <f t="shared" si="76"/>
        <v>K-250x131x76</v>
      </c>
    </row>
    <row r="753" spans="1:22" s="294" customFormat="1">
      <c r="A753" s="293" t="s">
        <v>433</v>
      </c>
      <c r="B753" s="2" t="s">
        <v>2167</v>
      </c>
      <c r="C753" s="2">
        <v>250</v>
      </c>
      <c r="D753" s="2">
        <v>76</v>
      </c>
      <c r="E753" s="2">
        <v>134</v>
      </c>
      <c r="F753" s="2">
        <v>114</v>
      </c>
      <c r="G753" s="21">
        <f t="shared" si="71"/>
        <v>2.3559999999999999</v>
      </c>
      <c r="H753" s="20">
        <f t="shared" si="72"/>
        <v>3.819</v>
      </c>
      <c r="I753" s="20">
        <f t="shared" si="73"/>
        <v>3.1829999999999998</v>
      </c>
      <c r="J753" s="75">
        <f t="shared" si="74"/>
        <v>2.3559999999999999</v>
      </c>
      <c r="K753" s="767"/>
      <c r="L753" s="20"/>
      <c r="M753" s="20"/>
      <c r="N753" s="20"/>
      <c r="O753" s="20"/>
      <c r="P753" s="20"/>
      <c r="Q753" s="21"/>
      <c r="R753" s="22" t="s">
        <v>16</v>
      </c>
      <c r="S753" s="22">
        <v>2</v>
      </c>
      <c r="T753" s="20">
        <f t="shared" si="75"/>
        <v>3352.6789288567429</v>
      </c>
      <c r="U753" s="22">
        <v>0</v>
      </c>
      <c r="V753" s="20" t="str">
        <f t="shared" si="76"/>
        <v>K-250x134x76</v>
      </c>
    </row>
    <row r="754" spans="1:22" s="294" customFormat="1">
      <c r="A754" s="293" t="s">
        <v>602</v>
      </c>
      <c r="B754" s="2" t="s">
        <v>2167</v>
      </c>
      <c r="C754" s="2">
        <v>250</v>
      </c>
      <c r="D754" s="2">
        <v>64</v>
      </c>
      <c r="E754" s="2">
        <v>138</v>
      </c>
      <c r="F754" s="2">
        <v>110</v>
      </c>
      <c r="G754" s="21">
        <f t="shared" si="71"/>
        <v>1.984</v>
      </c>
      <c r="H754" s="20">
        <f t="shared" si="72"/>
        <v>3.7949999999999999</v>
      </c>
      <c r="I754" s="20">
        <f t="shared" si="73"/>
        <v>3.0019999999999998</v>
      </c>
      <c r="J754" s="75">
        <f t="shared" si="74"/>
        <v>1.984</v>
      </c>
      <c r="K754" s="767"/>
      <c r="L754" s="20"/>
      <c r="M754" s="20"/>
      <c r="N754" s="20"/>
      <c r="O754" s="20"/>
      <c r="P754" s="20"/>
      <c r="Q754" s="21"/>
      <c r="R754" s="22" t="s">
        <v>16</v>
      </c>
      <c r="S754" s="22">
        <v>2</v>
      </c>
      <c r="T754" s="20">
        <f t="shared" si="75"/>
        <v>2468.1466896504858</v>
      </c>
      <c r="U754" s="22">
        <v>0</v>
      </c>
      <c r="V754" s="20" t="str">
        <f t="shared" si="76"/>
        <v>K-250x138x64</v>
      </c>
    </row>
    <row r="755" spans="1:22" s="294" customFormat="1">
      <c r="A755" s="293" t="s">
        <v>434</v>
      </c>
      <c r="B755" s="2" t="s">
        <v>2167</v>
      </c>
      <c r="C755" s="2">
        <v>250</v>
      </c>
      <c r="D755" s="2">
        <v>76</v>
      </c>
      <c r="E755" s="2">
        <v>138</v>
      </c>
      <c r="F755" s="2">
        <v>110</v>
      </c>
      <c r="G755" s="21">
        <f t="shared" si="71"/>
        <v>2.3559999999999999</v>
      </c>
      <c r="H755" s="20">
        <f t="shared" si="72"/>
        <v>3.7949999999999999</v>
      </c>
      <c r="I755" s="20">
        <f t="shared" si="73"/>
        <v>3.2090000000000001</v>
      </c>
      <c r="J755" s="75">
        <f t="shared" si="74"/>
        <v>2.3559999999999999</v>
      </c>
      <c r="K755" s="767"/>
      <c r="L755" s="20"/>
      <c r="M755" s="20"/>
      <c r="N755" s="20"/>
      <c r="O755" s="20"/>
      <c r="P755" s="20"/>
      <c r="Q755" s="21"/>
      <c r="R755" s="22" t="s">
        <v>16</v>
      </c>
      <c r="S755" s="22">
        <v>2</v>
      </c>
      <c r="T755" s="20">
        <f t="shared" si="75"/>
        <v>2468.1466896504858</v>
      </c>
      <c r="U755" s="22">
        <v>0</v>
      </c>
      <c r="V755" s="20" t="str">
        <f t="shared" si="76"/>
        <v>K-250x138x76</v>
      </c>
    </row>
    <row r="756" spans="1:22" s="294" customFormat="1">
      <c r="A756" s="293" t="s">
        <v>603</v>
      </c>
      <c r="B756" s="2" t="s">
        <v>2167</v>
      </c>
      <c r="C756" s="2">
        <v>250</v>
      </c>
      <c r="D756" s="2">
        <v>64</v>
      </c>
      <c r="E756" s="2">
        <v>149</v>
      </c>
      <c r="F756" s="2">
        <v>99</v>
      </c>
      <c r="G756" s="21">
        <f t="shared" si="71"/>
        <v>1.984</v>
      </c>
      <c r="H756" s="20">
        <f t="shared" si="72"/>
        <v>3.6880000000000002</v>
      </c>
      <c r="I756" s="20">
        <f t="shared" si="73"/>
        <v>3.036</v>
      </c>
      <c r="J756" s="75">
        <f t="shared" si="74"/>
        <v>1.984</v>
      </c>
      <c r="K756" s="767"/>
      <c r="L756" s="20"/>
      <c r="M756" s="20"/>
      <c r="N756" s="20"/>
      <c r="O756" s="20"/>
      <c r="P756" s="20"/>
      <c r="Q756" s="21"/>
      <c r="R756" s="22" t="s">
        <v>16</v>
      </c>
      <c r="S756" s="22">
        <v>2</v>
      </c>
      <c r="T756" s="20">
        <f t="shared" si="75"/>
        <v>1497.4314675470125</v>
      </c>
      <c r="U756" s="22">
        <v>0</v>
      </c>
      <c r="V756" s="20" t="str">
        <f t="shared" si="76"/>
        <v>K-250x149x64</v>
      </c>
    </row>
    <row r="757" spans="1:22" s="294" customFormat="1">
      <c r="A757" s="293" t="s">
        <v>435</v>
      </c>
      <c r="B757" s="2" t="s">
        <v>2167</v>
      </c>
      <c r="C757" s="2">
        <v>250</v>
      </c>
      <c r="D757" s="2">
        <v>76</v>
      </c>
      <c r="E757" s="2">
        <v>149</v>
      </c>
      <c r="F757" s="2">
        <v>99</v>
      </c>
      <c r="G757" s="21">
        <f t="shared" si="71"/>
        <v>2.3559999999999999</v>
      </c>
      <c r="H757" s="20">
        <f t="shared" si="72"/>
        <v>3.6880000000000002</v>
      </c>
      <c r="I757" s="20">
        <f t="shared" si="73"/>
        <v>3.2589999999999999</v>
      </c>
      <c r="J757" s="75">
        <f t="shared" si="74"/>
        <v>2.3559999999999999</v>
      </c>
      <c r="K757" s="767"/>
      <c r="L757" s="20"/>
      <c r="M757" s="20"/>
      <c r="N757" s="20"/>
      <c r="O757" s="20"/>
      <c r="P757" s="20"/>
      <c r="Q757" s="21"/>
      <c r="R757" s="22" t="s">
        <v>16</v>
      </c>
      <c r="S757" s="22">
        <v>2</v>
      </c>
      <c r="T757" s="20">
        <f t="shared" si="75"/>
        <v>1497.4314675470125</v>
      </c>
      <c r="U757" s="22">
        <v>0</v>
      </c>
      <c r="V757" s="20" t="str">
        <f t="shared" si="76"/>
        <v>K-250x149x76</v>
      </c>
    </row>
    <row r="758" spans="1:22" s="294" customFormat="1">
      <c r="A758" s="293" t="s">
        <v>436</v>
      </c>
      <c r="B758" s="2" t="s">
        <v>2167</v>
      </c>
      <c r="C758" s="2">
        <v>250</v>
      </c>
      <c r="D758" s="2">
        <v>76</v>
      </c>
      <c r="E758" s="2">
        <v>154</v>
      </c>
      <c r="F758" s="2">
        <v>132</v>
      </c>
      <c r="G758" s="21">
        <f t="shared" si="71"/>
        <v>2.7170000000000001</v>
      </c>
      <c r="H758" s="20">
        <f t="shared" si="72"/>
        <v>5.0819999999999999</v>
      </c>
      <c r="I758" s="20">
        <f t="shared" si="73"/>
        <v>4.0039999999999996</v>
      </c>
      <c r="J758" s="75">
        <f t="shared" si="74"/>
        <v>2.7170000000000001</v>
      </c>
      <c r="K758" s="767"/>
      <c r="L758" s="20"/>
      <c r="M758" s="20"/>
      <c r="N758" s="20"/>
      <c r="O758" s="20"/>
      <c r="P758" s="20"/>
      <c r="Q758" s="21"/>
      <c r="R758" s="22" t="s">
        <v>16</v>
      </c>
      <c r="S758" s="22">
        <v>2</v>
      </c>
      <c r="T758" s="20">
        <f t="shared" si="75"/>
        <v>3503.3863617934012</v>
      </c>
      <c r="U758" s="22">
        <v>0</v>
      </c>
      <c r="V758" s="20" t="str">
        <f t="shared" si="76"/>
        <v>K-250x154x76</v>
      </c>
    </row>
    <row r="759" spans="1:22" s="294" customFormat="1">
      <c r="A759" s="293" t="s">
        <v>2121</v>
      </c>
      <c r="B759" s="2" t="s">
        <v>2167</v>
      </c>
      <c r="C759" s="2">
        <v>250</v>
      </c>
      <c r="D759" s="2">
        <v>64</v>
      </c>
      <c r="E759" s="2">
        <v>192</v>
      </c>
      <c r="F759" s="2">
        <v>182</v>
      </c>
      <c r="G759" s="21">
        <f t="shared" si="71"/>
        <v>2.992</v>
      </c>
      <c r="H759" s="20">
        <f t="shared" si="72"/>
        <v>8.7360000000000007</v>
      </c>
      <c r="I759" s="20">
        <f t="shared" si="73"/>
        <v>5.9039999999999999</v>
      </c>
      <c r="J759" s="75">
        <f t="shared" si="74"/>
        <v>2.992</v>
      </c>
      <c r="K759" s="767"/>
      <c r="L759" s="20"/>
      <c r="M759" s="20"/>
      <c r="N759" s="20"/>
      <c r="O759" s="20"/>
      <c r="P759" s="20"/>
      <c r="Q759" s="21"/>
      <c r="R759" s="22" t="s">
        <v>16</v>
      </c>
      <c r="S759" s="22">
        <v>2</v>
      </c>
      <c r="T759" s="20">
        <f t="shared" si="75"/>
        <v>9601.9198080383903</v>
      </c>
      <c r="U759" s="22">
        <v>0</v>
      </c>
      <c r="V759" s="20" t="str">
        <f t="shared" si="76"/>
        <v>K-250x192x64</v>
      </c>
    </row>
    <row r="760" spans="1:22" s="294" customFormat="1">
      <c r="A760" s="293" t="s">
        <v>437</v>
      </c>
      <c r="B760" s="2" t="s">
        <v>2167</v>
      </c>
      <c r="C760" s="2">
        <v>250</v>
      </c>
      <c r="D760" s="2">
        <v>76</v>
      </c>
      <c r="E760" s="2">
        <v>192</v>
      </c>
      <c r="F760" s="2">
        <v>182</v>
      </c>
      <c r="G760" s="21">
        <f t="shared" si="71"/>
        <v>3.5529999999999999</v>
      </c>
      <c r="H760" s="20">
        <f t="shared" si="72"/>
        <v>8.7360000000000007</v>
      </c>
      <c r="I760" s="20">
        <f t="shared" si="73"/>
        <v>6.1920000000000002</v>
      </c>
      <c r="J760" s="75">
        <f t="shared" si="74"/>
        <v>3.5529999999999999</v>
      </c>
      <c r="K760" s="767"/>
      <c r="L760" s="20"/>
      <c r="M760" s="20"/>
      <c r="N760" s="20"/>
      <c r="O760" s="20"/>
      <c r="P760" s="20"/>
      <c r="Q760" s="21"/>
      <c r="R760" s="22" t="s">
        <v>16</v>
      </c>
      <c r="S760" s="22">
        <v>2</v>
      </c>
      <c r="T760" s="20">
        <f t="shared" si="75"/>
        <v>9601.9198080383903</v>
      </c>
      <c r="U760" s="22">
        <v>0</v>
      </c>
      <c r="V760" s="20" t="str">
        <f t="shared" si="76"/>
        <v>K-250x192x76</v>
      </c>
    </row>
    <row r="761" spans="1:22" s="294" customFormat="1">
      <c r="A761" s="293" t="s">
        <v>438</v>
      </c>
      <c r="B761" s="2" t="s">
        <v>2167</v>
      </c>
      <c r="C761" s="2">
        <v>250</v>
      </c>
      <c r="D761" s="2">
        <v>76</v>
      </c>
      <c r="E761" s="2">
        <v>194</v>
      </c>
      <c r="F761" s="2">
        <v>180</v>
      </c>
      <c r="G761" s="21">
        <f t="shared" si="71"/>
        <v>3.5529999999999999</v>
      </c>
      <c r="H761" s="20">
        <f t="shared" si="72"/>
        <v>8.73</v>
      </c>
      <c r="I761" s="20">
        <f t="shared" si="73"/>
        <v>6.2080000000000002</v>
      </c>
      <c r="J761" s="75">
        <f t="shared" si="74"/>
        <v>3.5529999999999999</v>
      </c>
      <c r="K761" s="767"/>
      <c r="L761" s="20"/>
      <c r="M761" s="20"/>
      <c r="N761" s="20"/>
      <c r="O761" s="20"/>
      <c r="P761" s="20"/>
      <c r="Q761" s="21"/>
      <c r="R761" s="22" t="s">
        <v>16</v>
      </c>
      <c r="S761" s="22">
        <v>2</v>
      </c>
      <c r="T761" s="20">
        <f t="shared" si="75"/>
        <v>6931.2868964440031</v>
      </c>
      <c r="U761" s="22">
        <v>0</v>
      </c>
      <c r="V761" s="20" t="str">
        <f t="shared" si="76"/>
        <v>K-250x194x76</v>
      </c>
    </row>
    <row r="762" spans="1:22" s="294" customFormat="1">
      <c r="A762" s="293" t="s">
        <v>439</v>
      </c>
      <c r="B762" s="2" t="s">
        <v>2167</v>
      </c>
      <c r="C762" s="2">
        <v>250</v>
      </c>
      <c r="D762" s="2">
        <v>76</v>
      </c>
      <c r="E762" s="2">
        <v>197</v>
      </c>
      <c r="F762" s="2">
        <v>177</v>
      </c>
      <c r="G762" s="21">
        <f t="shared" si="71"/>
        <v>3.5529999999999999</v>
      </c>
      <c r="H762" s="20">
        <f t="shared" si="72"/>
        <v>8.7170000000000005</v>
      </c>
      <c r="I762" s="20">
        <f t="shared" si="73"/>
        <v>6.23</v>
      </c>
      <c r="J762" s="75">
        <f t="shared" si="74"/>
        <v>3.5529999999999999</v>
      </c>
      <c r="K762" s="767"/>
      <c r="L762" s="20"/>
      <c r="M762" s="20"/>
      <c r="N762" s="20"/>
      <c r="O762" s="20"/>
      <c r="P762" s="20"/>
      <c r="Q762" s="21"/>
      <c r="R762" s="22" t="s">
        <v>16</v>
      </c>
      <c r="S762" s="22">
        <v>2</v>
      </c>
      <c r="T762" s="20">
        <f t="shared" si="75"/>
        <v>4928.9384252595401</v>
      </c>
      <c r="U762" s="22">
        <v>0</v>
      </c>
      <c r="V762" s="20" t="str">
        <f t="shared" si="76"/>
        <v>K-250x197x76</v>
      </c>
    </row>
    <row r="763" spans="1:22" s="294" customFormat="1">
      <c r="A763" s="293" t="s">
        <v>440</v>
      </c>
      <c r="B763" s="2" t="s">
        <v>2167</v>
      </c>
      <c r="C763" s="2">
        <v>300</v>
      </c>
      <c r="D763" s="2">
        <v>76</v>
      </c>
      <c r="E763" s="2">
        <v>121</v>
      </c>
      <c r="F763" s="2">
        <v>110</v>
      </c>
      <c r="G763" s="21">
        <f t="shared" si="71"/>
        <v>2.6334</v>
      </c>
      <c r="H763" s="20">
        <f t="shared" si="72"/>
        <v>3.9929999999999999</v>
      </c>
      <c r="I763" s="20">
        <f t="shared" si="73"/>
        <v>3.3759999999999999</v>
      </c>
      <c r="J763" s="75">
        <f t="shared" si="74"/>
        <v>2.633</v>
      </c>
      <c r="K763" s="767"/>
      <c r="L763" s="20"/>
      <c r="M763" s="20"/>
      <c r="N763" s="20"/>
      <c r="O763" s="20"/>
      <c r="P763" s="20"/>
      <c r="Q763" s="21"/>
      <c r="R763" s="22" t="s">
        <v>16</v>
      </c>
      <c r="S763" s="22">
        <v>2</v>
      </c>
      <c r="T763" s="20">
        <f t="shared" si="75"/>
        <v>6601.1090734815152</v>
      </c>
      <c r="U763" s="22">
        <v>0</v>
      </c>
      <c r="V763" s="20" t="str">
        <f t="shared" si="76"/>
        <v>K-300x121x76</v>
      </c>
    </row>
    <row r="764" spans="1:22" s="294" customFormat="1">
      <c r="A764" s="293" t="s">
        <v>441</v>
      </c>
      <c r="B764" s="2" t="s">
        <v>2167</v>
      </c>
      <c r="C764" s="2">
        <v>300</v>
      </c>
      <c r="D764" s="2">
        <v>76</v>
      </c>
      <c r="E764" s="2">
        <v>132</v>
      </c>
      <c r="F764" s="2">
        <v>110</v>
      </c>
      <c r="G764" s="21">
        <f t="shared" si="71"/>
        <v>2.7587999999999999</v>
      </c>
      <c r="H764" s="20">
        <f t="shared" si="72"/>
        <v>4.3559999999999999</v>
      </c>
      <c r="I764" s="20">
        <f t="shared" si="73"/>
        <v>3.6829999999999998</v>
      </c>
      <c r="J764" s="75">
        <f t="shared" si="74"/>
        <v>2.7589999999999999</v>
      </c>
      <c r="K764" s="767"/>
      <c r="L764" s="20"/>
      <c r="M764" s="20"/>
      <c r="N764" s="20"/>
      <c r="O764" s="20"/>
      <c r="P764" s="20"/>
      <c r="Q764" s="21"/>
      <c r="R764" s="22" t="s">
        <v>16</v>
      </c>
      <c r="S764" s="22">
        <v>2</v>
      </c>
      <c r="T764" s="20">
        <f t="shared" si="75"/>
        <v>3602.4191871574299</v>
      </c>
      <c r="U764" s="22">
        <v>0</v>
      </c>
      <c r="V764" s="20" t="str">
        <f t="shared" si="76"/>
        <v>K-300x132x76</v>
      </c>
    </row>
    <row r="765" spans="1:22" s="294" customFormat="1">
      <c r="A765" s="293" t="s">
        <v>442</v>
      </c>
      <c r="B765" s="2" t="s">
        <v>2167</v>
      </c>
      <c r="C765" s="2">
        <v>300</v>
      </c>
      <c r="D765" s="2">
        <v>76</v>
      </c>
      <c r="E765" s="2">
        <v>152</v>
      </c>
      <c r="F765" s="2">
        <v>110</v>
      </c>
      <c r="G765" s="21">
        <f t="shared" si="71"/>
        <v>2.9868000000000001</v>
      </c>
      <c r="H765" s="20">
        <f t="shared" si="72"/>
        <v>5.016</v>
      </c>
      <c r="I765" s="20">
        <f t="shared" si="73"/>
        <v>4.2409999999999997</v>
      </c>
      <c r="J765" s="75">
        <f t="shared" si="74"/>
        <v>2.9870000000000001</v>
      </c>
      <c r="K765" s="767"/>
      <c r="L765" s="20"/>
      <c r="M765" s="20"/>
      <c r="N765" s="20"/>
      <c r="O765" s="20"/>
      <c r="P765" s="20"/>
      <c r="Q765" s="21"/>
      <c r="R765" s="22" t="s">
        <v>16</v>
      </c>
      <c r="S765" s="22">
        <v>2</v>
      </c>
      <c r="T765" s="20">
        <f t="shared" si="75"/>
        <v>2176.7420703464904</v>
      </c>
      <c r="U765" s="22">
        <v>0</v>
      </c>
      <c r="V765" s="20" t="str">
        <f t="shared" si="76"/>
        <v>K-300x152x76</v>
      </c>
    </row>
    <row r="766" spans="1:22" s="294" customFormat="1">
      <c r="A766" s="293" t="s">
        <v>443</v>
      </c>
      <c r="B766" s="2" t="s">
        <v>2167</v>
      </c>
      <c r="C766" s="2">
        <v>300</v>
      </c>
      <c r="D766" s="2">
        <v>76</v>
      </c>
      <c r="E766" s="2">
        <v>190</v>
      </c>
      <c r="F766" s="2">
        <v>110</v>
      </c>
      <c r="G766" s="21">
        <f t="shared" si="71"/>
        <v>3.42</v>
      </c>
      <c r="H766" s="20">
        <f t="shared" si="72"/>
        <v>6.27</v>
      </c>
      <c r="I766" s="20">
        <f t="shared" si="73"/>
        <v>5.3010000000000002</v>
      </c>
      <c r="J766" s="75">
        <f t="shared" si="74"/>
        <v>3.42</v>
      </c>
      <c r="K766" s="767"/>
      <c r="L766" s="20"/>
      <c r="M766" s="20"/>
      <c r="N766" s="20"/>
      <c r="O766" s="20"/>
      <c r="P766" s="20"/>
      <c r="Q766" s="21"/>
      <c r="R766" s="22" t="s">
        <v>16</v>
      </c>
      <c r="S766" s="22">
        <v>2</v>
      </c>
      <c r="T766" s="20">
        <f t="shared" si="75"/>
        <v>1437.6108652900477</v>
      </c>
      <c r="U766" s="22">
        <v>0</v>
      </c>
      <c r="V766" s="20" t="str">
        <f t="shared" si="76"/>
        <v>K-300x190x76</v>
      </c>
    </row>
    <row r="767" spans="1:22" s="294" customFormat="1">
      <c r="A767" s="293" t="s">
        <v>2122</v>
      </c>
      <c r="B767" s="2" t="s">
        <v>2167</v>
      </c>
      <c r="C767" s="2">
        <v>350</v>
      </c>
      <c r="D767" s="2">
        <v>76</v>
      </c>
      <c r="E767" s="2">
        <v>158</v>
      </c>
      <c r="F767" s="2">
        <v>110</v>
      </c>
      <c r="G767" s="21">
        <f t="shared" si="71"/>
        <v>3.5644</v>
      </c>
      <c r="H767" s="20">
        <f t="shared" si="72"/>
        <v>6.0830000000000002</v>
      </c>
      <c r="I767" s="20">
        <f t="shared" si="73"/>
        <v>5.1429999999999998</v>
      </c>
      <c r="J767" s="75">
        <f t="shared" si="74"/>
        <v>3.5640000000000001</v>
      </c>
      <c r="K767" s="767"/>
      <c r="L767" s="20"/>
      <c r="M767" s="20"/>
      <c r="N767" s="20"/>
      <c r="O767" s="20"/>
      <c r="P767" s="20"/>
      <c r="Q767" s="21"/>
      <c r="R767" s="22" t="s">
        <v>16</v>
      </c>
      <c r="S767" s="22">
        <v>2</v>
      </c>
      <c r="T767" s="20">
        <f t="shared" si="75"/>
        <v>2309.5774565443298</v>
      </c>
      <c r="U767" s="22">
        <v>0</v>
      </c>
      <c r="V767" s="20" t="str">
        <f t="shared" si="76"/>
        <v>K-350x158x76</v>
      </c>
    </row>
    <row r="768" spans="1:22" s="294" customFormat="1">
      <c r="A768" s="293" t="s">
        <v>2123</v>
      </c>
      <c r="B768" s="2" t="s">
        <v>2167</v>
      </c>
      <c r="C768" s="2">
        <v>350</v>
      </c>
      <c r="D768" s="2">
        <v>76</v>
      </c>
      <c r="E768" s="2">
        <v>136</v>
      </c>
      <c r="F768" s="2">
        <v>110</v>
      </c>
      <c r="G768" s="21">
        <f t="shared" si="71"/>
        <v>3.2717999999999998</v>
      </c>
      <c r="H768" s="20">
        <f t="shared" si="72"/>
        <v>5.2359999999999998</v>
      </c>
      <c r="I768" s="20">
        <f t="shared" si="73"/>
        <v>4.4269999999999996</v>
      </c>
      <c r="J768" s="75">
        <f t="shared" si="74"/>
        <v>3.2719999999999998</v>
      </c>
      <c r="K768" s="767"/>
      <c r="L768" s="20"/>
      <c r="M768" s="20"/>
      <c r="N768" s="20"/>
      <c r="O768" s="20"/>
      <c r="P768" s="20"/>
      <c r="Q768" s="21"/>
      <c r="R768" s="22" t="s">
        <v>16</v>
      </c>
      <c r="S768" s="22">
        <v>2</v>
      </c>
      <c r="T768" s="20">
        <f t="shared" si="75"/>
        <v>3664.0633053108459</v>
      </c>
      <c r="U768" s="22">
        <v>0</v>
      </c>
      <c r="V768" s="20" t="str">
        <f t="shared" si="76"/>
        <v>K-350x136x76</v>
      </c>
    </row>
    <row r="769" spans="1:22" s="294" customFormat="1" ht="13.8" thickBot="1">
      <c r="A769" s="546" t="s">
        <v>2124</v>
      </c>
      <c r="B769" s="81" t="s">
        <v>2167</v>
      </c>
      <c r="C769" s="81">
        <v>350</v>
      </c>
      <c r="D769" s="81">
        <v>76</v>
      </c>
      <c r="E769" s="81">
        <v>123</v>
      </c>
      <c r="F769" s="81">
        <v>110</v>
      </c>
      <c r="G769" s="21">
        <f t="shared" si="71"/>
        <v>3.0989</v>
      </c>
      <c r="H769" s="82">
        <f t="shared" si="72"/>
        <v>4.7359999999999998</v>
      </c>
      <c r="I769" s="82">
        <f t="shared" si="73"/>
        <v>4.0039999999999996</v>
      </c>
      <c r="J769" s="83">
        <f t="shared" si="74"/>
        <v>3.0990000000000002</v>
      </c>
      <c r="K769" s="767"/>
      <c r="L769" s="20"/>
      <c r="M769" s="20"/>
      <c r="N769" s="20"/>
      <c r="O769" s="20"/>
      <c r="P769" s="20"/>
      <c r="Q769" s="21"/>
      <c r="R769" s="22" t="s">
        <v>16</v>
      </c>
      <c r="S769" s="22">
        <v>2</v>
      </c>
      <c r="T769" s="20">
        <f t="shared" si="75"/>
        <v>6624.2189674703586</v>
      </c>
      <c r="U769" s="22">
        <v>0</v>
      </c>
      <c r="V769" s="20" t="str">
        <f t="shared" si="76"/>
        <v>K-350x123x76</v>
      </c>
    </row>
    <row r="770" spans="1:22" s="29" customFormat="1" ht="25.2" thickBot="1">
      <c r="A770" s="64" t="s">
        <v>297</v>
      </c>
      <c r="B770" s="70"/>
      <c r="C770" s="70"/>
      <c r="D770" s="70"/>
      <c r="E770" s="70"/>
      <c r="F770" s="70"/>
      <c r="G770" s="105"/>
      <c r="H770" s="71"/>
      <c r="I770" s="71"/>
      <c r="J770" s="71"/>
      <c r="K770" s="84"/>
      <c r="L770" s="28"/>
      <c r="M770" s="28"/>
      <c r="N770" s="28"/>
      <c r="O770" s="28"/>
      <c r="P770" s="28"/>
      <c r="Q770" s="30"/>
      <c r="R770" s="31"/>
      <c r="S770" s="31"/>
      <c r="T770" s="28"/>
      <c r="U770" s="31"/>
      <c r="V770" s="28"/>
    </row>
    <row r="771" spans="1:22" ht="15" customHeight="1">
      <c r="A771" s="85" t="s">
        <v>122</v>
      </c>
      <c r="B771" s="545" t="s">
        <v>2167</v>
      </c>
      <c r="C771" s="77">
        <v>200</v>
      </c>
      <c r="D771" s="77">
        <v>100</v>
      </c>
      <c r="E771" s="77">
        <v>160</v>
      </c>
      <c r="F771" s="77">
        <v>140</v>
      </c>
      <c r="G771" s="86">
        <v>3</v>
      </c>
      <c r="H771" s="78"/>
      <c r="I771" s="78"/>
      <c r="J771" s="78"/>
      <c r="K771" s="87"/>
      <c r="L771" s="766" t="s">
        <v>652</v>
      </c>
      <c r="M771" s="20"/>
      <c r="N771" s="20"/>
      <c r="O771" s="20"/>
      <c r="P771" s="20"/>
      <c r="Q771" s="21"/>
      <c r="R771" s="22" t="s">
        <v>16</v>
      </c>
      <c r="S771" s="22">
        <v>2</v>
      </c>
      <c r="T771" s="25">
        <v>3204</v>
      </c>
      <c r="U771" s="22">
        <v>0</v>
      </c>
      <c r="V771" s="20" t="str">
        <f t="shared" ref="V771:V784" si="77">B771&amp;"-"&amp;C771&amp;"x"&amp;E771&amp;"x"&amp;D771</f>
        <v>K-200x160x100</v>
      </c>
    </row>
    <row r="772" spans="1:22" ht="15">
      <c r="A772" s="88" t="s">
        <v>123</v>
      </c>
      <c r="B772" s="76" t="s">
        <v>2167</v>
      </c>
      <c r="C772" s="2">
        <v>200</v>
      </c>
      <c r="D772" s="2">
        <v>100</v>
      </c>
      <c r="E772" s="2">
        <v>170</v>
      </c>
      <c r="F772" s="2">
        <v>130</v>
      </c>
      <c r="G772" s="21">
        <v>3</v>
      </c>
      <c r="H772" s="20"/>
      <c r="I772" s="20"/>
      <c r="J772" s="20"/>
      <c r="K772" s="89"/>
      <c r="L772" s="767"/>
      <c r="M772" s="20"/>
      <c r="N772" s="20"/>
      <c r="O772" s="20"/>
      <c r="P772" s="20"/>
      <c r="Q772" s="21"/>
      <c r="R772" s="22" t="s">
        <v>16</v>
      </c>
      <c r="S772" s="22">
        <v>2</v>
      </c>
      <c r="T772" s="25">
        <v>1708</v>
      </c>
      <c r="U772" s="22">
        <v>0</v>
      </c>
      <c r="V772" s="20" t="str">
        <f t="shared" si="77"/>
        <v>K-200x170x100</v>
      </c>
    </row>
    <row r="773" spans="1:22" ht="15">
      <c r="A773" s="88" t="s">
        <v>125</v>
      </c>
      <c r="B773" s="76" t="s">
        <v>2167</v>
      </c>
      <c r="C773" s="2">
        <v>250</v>
      </c>
      <c r="D773" s="2">
        <v>100</v>
      </c>
      <c r="E773" s="2">
        <v>150</v>
      </c>
      <c r="F773" s="2">
        <v>150</v>
      </c>
      <c r="G773" s="21">
        <v>3.75</v>
      </c>
      <c r="H773" s="20"/>
      <c r="I773" s="20"/>
      <c r="J773" s="20"/>
      <c r="K773" s="89"/>
      <c r="L773" s="767"/>
      <c r="M773" s="20"/>
      <c r="N773" s="20"/>
      <c r="O773" s="20"/>
      <c r="P773" s="20"/>
      <c r="Q773" s="21"/>
      <c r="R773" s="22" t="s">
        <v>16</v>
      </c>
      <c r="S773" s="22">
        <v>2</v>
      </c>
      <c r="T773" s="25" t="s">
        <v>16</v>
      </c>
      <c r="U773" s="22">
        <v>0</v>
      </c>
      <c r="V773" s="20" t="str">
        <f t="shared" si="77"/>
        <v>K-250x150x100</v>
      </c>
    </row>
    <row r="774" spans="1:22" ht="15">
      <c r="A774" s="519" t="s">
        <v>1889</v>
      </c>
      <c r="B774" s="520" t="s">
        <v>2167</v>
      </c>
      <c r="C774" s="462">
        <v>250</v>
      </c>
      <c r="D774" s="462">
        <v>100</v>
      </c>
      <c r="E774" s="462">
        <v>75</v>
      </c>
      <c r="F774" s="462">
        <v>75</v>
      </c>
      <c r="G774" s="521">
        <v>1.875</v>
      </c>
      <c r="H774" s="20"/>
      <c r="I774" s="20"/>
      <c r="J774" s="20"/>
      <c r="K774" s="89"/>
      <c r="L774" s="767"/>
      <c r="M774" s="20"/>
      <c r="N774" s="20"/>
      <c r="O774" s="20"/>
      <c r="P774" s="20"/>
      <c r="Q774" s="21"/>
      <c r="R774" s="22" t="s">
        <v>16</v>
      </c>
      <c r="S774" s="22">
        <v>2</v>
      </c>
      <c r="T774" s="25" t="s">
        <v>16</v>
      </c>
      <c r="U774" s="22">
        <v>0</v>
      </c>
      <c r="V774" s="20" t="str">
        <f t="shared" ref="V774" si="78">B774&amp;"-"&amp;C774&amp;"x"&amp;E774&amp;"x"&amp;D774</f>
        <v>K-250x75x100</v>
      </c>
    </row>
    <row r="775" spans="1:22" ht="15">
      <c r="A775" s="88" t="s">
        <v>126</v>
      </c>
      <c r="B775" s="76" t="s">
        <v>2167</v>
      </c>
      <c r="C775" s="2">
        <v>250</v>
      </c>
      <c r="D775" s="2">
        <v>100</v>
      </c>
      <c r="E775" s="2">
        <v>154</v>
      </c>
      <c r="F775" s="2">
        <v>146</v>
      </c>
      <c r="G775" s="21">
        <v>3.75</v>
      </c>
      <c r="H775" s="20"/>
      <c r="I775" s="20"/>
      <c r="J775" s="20"/>
      <c r="K775" s="89"/>
      <c r="L775" s="767"/>
      <c r="M775" s="20"/>
      <c r="N775" s="20"/>
      <c r="O775" s="20"/>
      <c r="P775" s="20"/>
      <c r="Q775" s="21"/>
      <c r="R775" s="22" t="s">
        <v>16</v>
      </c>
      <c r="S775" s="22">
        <v>2</v>
      </c>
      <c r="T775" s="25">
        <v>9626</v>
      </c>
      <c r="U775" s="22">
        <v>0</v>
      </c>
      <c r="V775" s="20" t="str">
        <f t="shared" si="77"/>
        <v>K-250x154x100</v>
      </c>
    </row>
    <row r="776" spans="1:22" ht="15">
      <c r="A776" s="88" t="s">
        <v>127</v>
      </c>
      <c r="B776" s="76" t="s">
        <v>2167</v>
      </c>
      <c r="C776" s="2">
        <v>250</v>
      </c>
      <c r="D776" s="2">
        <v>100</v>
      </c>
      <c r="E776" s="2">
        <v>158</v>
      </c>
      <c r="F776" s="2">
        <v>142</v>
      </c>
      <c r="G776" s="21">
        <v>3.75</v>
      </c>
      <c r="H776" s="20"/>
      <c r="I776" s="20"/>
      <c r="J776" s="20"/>
      <c r="K776" s="89"/>
      <c r="L776" s="767"/>
      <c r="M776" s="20"/>
      <c r="N776" s="20"/>
      <c r="O776" s="20"/>
      <c r="P776" s="20"/>
      <c r="Q776" s="21"/>
      <c r="R776" s="22" t="s">
        <v>16</v>
      </c>
      <c r="S776" s="22">
        <v>2</v>
      </c>
      <c r="T776" s="25">
        <v>4940</v>
      </c>
      <c r="U776" s="22">
        <v>0</v>
      </c>
      <c r="V776" s="20" t="str">
        <f t="shared" si="77"/>
        <v>K-250x158x100</v>
      </c>
    </row>
    <row r="777" spans="1:22" ht="15">
      <c r="A777" s="88" t="s">
        <v>128</v>
      </c>
      <c r="B777" s="76" t="s">
        <v>2167</v>
      </c>
      <c r="C777" s="2">
        <v>250</v>
      </c>
      <c r="D777" s="2">
        <v>100</v>
      </c>
      <c r="E777" s="2">
        <v>160</v>
      </c>
      <c r="F777" s="2">
        <v>140</v>
      </c>
      <c r="G777" s="21">
        <v>3.75</v>
      </c>
      <c r="H777" s="20"/>
      <c r="I777" s="20"/>
      <c r="J777" s="20"/>
      <c r="K777" s="89"/>
      <c r="L777" s="767"/>
      <c r="M777" s="20"/>
      <c r="N777" s="20"/>
      <c r="O777" s="20"/>
      <c r="P777" s="20"/>
      <c r="Q777" s="21"/>
      <c r="R777" s="22" t="s">
        <v>16</v>
      </c>
      <c r="S777" s="22">
        <v>2</v>
      </c>
      <c r="T777" s="25">
        <v>4003</v>
      </c>
      <c r="U777" s="22">
        <v>0</v>
      </c>
      <c r="V777" s="20" t="str">
        <f t="shared" si="77"/>
        <v>K-250x160x100</v>
      </c>
    </row>
    <row r="778" spans="1:22" ht="15">
      <c r="A778" s="88" t="s">
        <v>129</v>
      </c>
      <c r="B778" s="76" t="s">
        <v>2167</v>
      </c>
      <c r="C778" s="2">
        <v>250</v>
      </c>
      <c r="D778" s="2">
        <v>100</v>
      </c>
      <c r="E778" s="2">
        <v>165</v>
      </c>
      <c r="F778" s="2">
        <v>135</v>
      </c>
      <c r="G778" s="21">
        <v>3.75</v>
      </c>
      <c r="H778" s="20"/>
      <c r="I778" s="20"/>
      <c r="J778" s="20"/>
      <c r="K778" s="89"/>
      <c r="L778" s="767"/>
      <c r="M778" s="20"/>
      <c r="N778" s="20"/>
      <c r="O778" s="20"/>
      <c r="P778" s="20"/>
      <c r="Q778" s="21"/>
      <c r="R778" s="22" t="s">
        <v>16</v>
      </c>
      <c r="S778" s="22">
        <v>2</v>
      </c>
      <c r="T778" s="25">
        <v>2755</v>
      </c>
      <c r="U778" s="22">
        <v>0</v>
      </c>
      <c r="V778" s="20" t="str">
        <f t="shared" si="77"/>
        <v>K-250x165x100</v>
      </c>
    </row>
    <row r="779" spans="1:22" ht="15">
      <c r="A779" s="88" t="s">
        <v>130</v>
      </c>
      <c r="B779" s="76" t="s">
        <v>2167</v>
      </c>
      <c r="C779" s="2">
        <v>250</v>
      </c>
      <c r="D779" s="2">
        <v>100</v>
      </c>
      <c r="E779" s="2">
        <v>170</v>
      </c>
      <c r="F779" s="2">
        <v>130</v>
      </c>
      <c r="G779" s="21">
        <v>3.75</v>
      </c>
      <c r="H779" s="20"/>
      <c r="I779" s="20"/>
      <c r="J779" s="20"/>
      <c r="K779" s="89"/>
      <c r="L779" s="767"/>
      <c r="M779" s="20"/>
      <c r="N779" s="20"/>
      <c r="O779" s="20"/>
      <c r="P779" s="20"/>
      <c r="Q779" s="21"/>
      <c r="R779" s="22" t="s">
        <v>16</v>
      </c>
      <c r="S779" s="22">
        <v>2</v>
      </c>
      <c r="T779" s="25">
        <v>2132</v>
      </c>
      <c r="U779" s="22">
        <v>0</v>
      </c>
      <c r="V779" s="20" t="str">
        <f t="shared" si="77"/>
        <v>K-250x170x100</v>
      </c>
    </row>
    <row r="780" spans="1:22" ht="15">
      <c r="A780" s="88" t="s">
        <v>131</v>
      </c>
      <c r="B780" s="76" t="s">
        <v>2167</v>
      </c>
      <c r="C780" s="2">
        <v>250</v>
      </c>
      <c r="D780" s="2">
        <v>100</v>
      </c>
      <c r="E780" s="2">
        <v>180</v>
      </c>
      <c r="F780" s="2">
        <v>120</v>
      </c>
      <c r="G780" s="21">
        <v>3.75</v>
      </c>
      <c r="H780" s="20"/>
      <c r="I780" s="20"/>
      <c r="J780" s="20"/>
      <c r="K780" s="89"/>
      <c r="L780" s="767"/>
      <c r="M780" s="20"/>
      <c r="N780" s="20"/>
      <c r="O780" s="20"/>
      <c r="P780" s="20"/>
      <c r="Q780" s="21"/>
      <c r="R780" s="22" t="s">
        <v>16</v>
      </c>
      <c r="S780" s="22">
        <v>2</v>
      </c>
      <c r="T780" s="25">
        <v>1511</v>
      </c>
      <c r="U780" s="22">
        <v>0</v>
      </c>
      <c r="V780" s="20" t="str">
        <f t="shared" si="77"/>
        <v>K-250x180x100</v>
      </c>
    </row>
    <row r="781" spans="1:22" ht="15">
      <c r="A781" s="88" t="s">
        <v>132</v>
      </c>
      <c r="B781" s="76" t="s">
        <v>2167</v>
      </c>
      <c r="C781" s="2">
        <v>250</v>
      </c>
      <c r="D781" s="2">
        <v>100</v>
      </c>
      <c r="E781" s="2">
        <v>190</v>
      </c>
      <c r="F781" s="2">
        <v>110</v>
      </c>
      <c r="G781" s="21">
        <v>3.75</v>
      </c>
      <c r="H781" s="20"/>
      <c r="I781" s="20"/>
      <c r="J781" s="20"/>
      <c r="K781" s="89"/>
      <c r="L781" s="767"/>
      <c r="M781" s="20"/>
      <c r="N781" s="20"/>
      <c r="O781" s="20"/>
      <c r="P781" s="20"/>
      <c r="Q781" s="21"/>
      <c r="R781" s="22" t="s">
        <v>16</v>
      </c>
      <c r="S781" s="22">
        <v>2</v>
      </c>
      <c r="T781" s="25">
        <v>1203</v>
      </c>
      <c r="U781" s="22">
        <v>0</v>
      </c>
      <c r="V781" s="20" t="str">
        <f t="shared" si="77"/>
        <v>K-250x190x100</v>
      </c>
    </row>
    <row r="782" spans="1:22" ht="15">
      <c r="A782" s="88" t="s">
        <v>133</v>
      </c>
      <c r="B782" s="76" t="s">
        <v>2167</v>
      </c>
      <c r="C782" s="2">
        <v>250</v>
      </c>
      <c r="D782" s="2">
        <v>100</v>
      </c>
      <c r="E782" s="2">
        <v>210</v>
      </c>
      <c r="F782" s="2">
        <v>90</v>
      </c>
      <c r="G782" s="21">
        <v>3.75</v>
      </c>
      <c r="H782" s="20"/>
      <c r="I782" s="20"/>
      <c r="J782" s="20"/>
      <c r="K782" s="89"/>
      <c r="L782" s="767"/>
      <c r="M782" s="20"/>
      <c r="N782" s="20"/>
      <c r="O782" s="20"/>
      <c r="P782" s="20"/>
      <c r="Q782" s="21"/>
      <c r="R782" s="22" t="s">
        <v>16</v>
      </c>
      <c r="S782" s="22">
        <v>2</v>
      </c>
      <c r="T782" s="25">
        <v>900</v>
      </c>
      <c r="U782" s="22">
        <v>0</v>
      </c>
      <c r="V782" s="20" t="str">
        <f t="shared" si="77"/>
        <v>K-250x210x100</v>
      </c>
    </row>
    <row r="783" spans="1:22" ht="15">
      <c r="A783" s="88" t="s">
        <v>134</v>
      </c>
      <c r="B783" s="76" t="s">
        <v>2167</v>
      </c>
      <c r="C783" s="2">
        <v>300</v>
      </c>
      <c r="D783" s="2">
        <v>100</v>
      </c>
      <c r="E783" s="2">
        <v>150</v>
      </c>
      <c r="F783" s="2">
        <v>150</v>
      </c>
      <c r="G783" s="21">
        <v>4.5</v>
      </c>
      <c r="H783" s="20"/>
      <c r="I783" s="20"/>
      <c r="J783" s="20"/>
      <c r="K783" s="89"/>
      <c r="L783" s="767"/>
      <c r="M783" s="20"/>
      <c r="N783" s="20"/>
      <c r="O783" s="20"/>
      <c r="P783" s="20"/>
      <c r="Q783" s="21"/>
      <c r="R783" s="22" t="s">
        <v>16</v>
      </c>
      <c r="S783" s="22">
        <v>2</v>
      </c>
      <c r="T783" s="25" t="s">
        <v>16</v>
      </c>
      <c r="U783" s="22">
        <v>0</v>
      </c>
      <c r="V783" s="20" t="str">
        <f t="shared" si="77"/>
        <v>K-300x150x100</v>
      </c>
    </row>
    <row r="784" spans="1:22" ht="15">
      <c r="A784" s="88" t="s">
        <v>135</v>
      </c>
      <c r="B784" s="76" t="s">
        <v>2167</v>
      </c>
      <c r="C784" s="2">
        <v>300</v>
      </c>
      <c r="D784" s="2">
        <v>100</v>
      </c>
      <c r="E784" s="2">
        <v>154</v>
      </c>
      <c r="F784" s="2">
        <v>146</v>
      </c>
      <c r="G784" s="21">
        <v>4.5</v>
      </c>
      <c r="H784" s="20"/>
      <c r="I784" s="20"/>
      <c r="J784" s="20"/>
      <c r="K784" s="89"/>
      <c r="L784" s="767"/>
      <c r="M784" s="20"/>
      <c r="N784" s="20"/>
      <c r="O784" s="20"/>
      <c r="P784" s="20"/>
      <c r="Q784" s="21"/>
      <c r="R784" s="22" t="s">
        <v>16</v>
      </c>
      <c r="S784" s="22">
        <v>2</v>
      </c>
      <c r="T784" s="25">
        <v>11551</v>
      </c>
      <c r="U784" s="22">
        <v>0</v>
      </c>
      <c r="V784" s="20" t="str">
        <f t="shared" si="77"/>
        <v>K-300x154x100</v>
      </c>
    </row>
    <row r="785" spans="1:22" ht="15">
      <c r="A785" s="88" t="s">
        <v>136</v>
      </c>
      <c r="B785" s="76" t="s">
        <v>2167</v>
      </c>
      <c r="C785" s="2">
        <v>300</v>
      </c>
      <c r="D785" s="2">
        <v>100</v>
      </c>
      <c r="E785" s="2">
        <v>160</v>
      </c>
      <c r="F785" s="2">
        <v>140</v>
      </c>
      <c r="G785" s="21">
        <v>4.5</v>
      </c>
      <c r="H785" s="20"/>
      <c r="I785" s="20"/>
      <c r="J785" s="20"/>
      <c r="K785" s="89"/>
      <c r="L785" s="767"/>
      <c r="M785" s="20"/>
      <c r="N785" s="20"/>
      <c r="O785" s="20"/>
      <c r="P785" s="20"/>
      <c r="Q785" s="21"/>
      <c r="R785" s="22" t="s">
        <v>16</v>
      </c>
      <c r="S785" s="22">
        <v>2</v>
      </c>
      <c r="T785" s="25">
        <v>4803</v>
      </c>
      <c r="U785" s="22"/>
      <c r="V785" s="20"/>
    </row>
    <row r="786" spans="1:22" ht="15">
      <c r="A786" s="88" t="s">
        <v>137</v>
      </c>
      <c r="B786" s="76" t="s">
        <v>2167</v>
      </c>
      <c r="C786" s="2">
        <v>300</v>
      </c>
      <c r="D786" s="2">
        <v>100</v>
      </c>
      <c r="E786" s="2">
        <v>170</v>
      </c>
      <c r="F786" s="2">
        <v>130</v>
      </c>
      <c r="G786" s="21">
        <v>4.5</v>
      </c>
      <c r="H786" s="20"/>
      <c r="I786" s="20"/>
      <c r="J786" s="20"/>
      <c r="K786" s="89"/>
      <c r="L786" s="767"/>
      <c r="M786" s="20"/>
      <c r="N786" s="20"/>
      <c r="O786" s="20"/>
      <c r="P786" s="20"/>
      <c r="Q786" s="21"/>
      <c r="R786" s="22" t="s">
        <v>16</v>
      </c>
      <c r="S786" s="22">
        <v>2</v>
      </c>
      <c r="T786" s="25">
        <v>2556</v>
      </c>
      <c r="U786" s="22">
        <v>0</v>
      </c>
      <c r="V786" s="20" t="str">
        <f t="shared" ref="V786:V817" si="79">B786&amp;"-"&amp;C786&amp;"x"&amp;E786&amp;"x"&amp;D786</f>
        <v>K-300x170x100</v>
      </c>
    </row>
    <row r="787" spans="1:22" ht="15">
      <c r="A787" s="88" t="s">
        <v>138</v>
      </c>
      <c r="B787" s="76" t="s">
        <v>2167</v>
      </c>
      <c r="C787" s="2">
        <v>300</v>
      </c>
      <c r="D787" s="2">
        <v>100</v>
      </c>
      <c r="E787" s="2">
        <v>175</v>
      </c>
      <c r="F787" s="2">
        <v>125</v>
      </c>
      <c r="G787" s="21">
        <v>4.5</v>
      </c>
      <c r="H787" s="20"/>
      <c r="I787" s="20"/>
      <c r="J787" s="20"/>
      <c r="K787" s="89"/>
      <c r="L787" s="767"/>
      <c r="M787" s="20"/>
      <c r="N787" s="20"/>
      <c r="O787" s="20"/>
      <c r="P787" s="20"/>
      <c r="Q787" s="21"/>
      <c r="R787" s="22" t="s">
        <v>16</v>
      </c>
      <c r="S787" s="22">
        <v>2</v>
      </c>
      <c r="T787" s="25">
        <v>2107</v>
      </c>
      <c r="U787" s="22">
        <v>0</v>
      </c>
      <c r="V787" s="20" t="str">
        <f t="shared" si="79"/>
        <v>K-300x175x100</v>
      </c>
    </row>
    <row r="788" spans="1:22" ht="15">
      <c r="A788" s="88" t="s">
        <v>139</v>
      </c>
      <c r="B788" s="76" t="s">
        <v>2167</v>
      </c>
      <c r="C788" s="2">
        <v>300</v>
      </c>
      <c r="D788" s="2">
        <v>100</v>
      </c>
      <c r="E788" s="2">
        <v>185</v>
      </c>
      <c r="F788" s="2">
        <v>115</v>
      </c>
      <c r="G788" s="21">
        <v>4.5</v>
      </c>
      <c r="H788" s="20"/>
      <c r="I788" s="20"/>
      <c r="J788" s="20"/>
      <c r="K788" s="89"/>
      <c r="L788" s="767"/>
      <c r="M788" s="20"/>
      <c r="N788" s="20"/>
      <c r="O788" s="20"/>
      <c r="P788" s="20"/>
      <c r="Q788" s="21"/>
      <c r="R788" s="22" t="s">
        <v>16</v>
      </c>
      <c r="S788" s="22">
        <v>2</v>
      </c>
      <c r="T788" s="25">
        <v>1596</v>
      </c>
      <c r="U788" s="22">
        <v>0</v>
      </c>
      <c r="V788" s="20" t="str">
        <f t="shared" si="79"/>
        <v>K-300x185x100</v>
      </c>
    </row>
    <row r="789" spans="1:22" ht="15">
      <c r="A789" s="88" t="s">
        <v>140</v>
      </c>
      <c r="B789" s="76" t="s">
        <v>2167</v>
      </c>
      <c r="C789" s="2">
        <v>300</v>
      </c>
      <c r="D789" s="2">
        <v>100</v>
      </c>
      <c r="E789" s="2">
        <v>190</v>
      </c>
      <c r="F789" s="2">
        <v>110</v>
      </c>
      <c r="G789" s="21">
        <v>4.5</v>
      </c>
      <c r="H789" s="20"/>
      <c r="I789" s="20"/>
      <c r="J789" s="20"/>
      <c r="K789" s="89"/>
      <c r="L789" s="767"/>
      <c r="M789" s="20"/>
      <c r="N789" s="20"/>
      <c r="O789" s="20"/>
      <c r="P789" s="20"/>
      <c r="Q789" s="21"/>
      <c r="R789" s="22" t="s">
        <v>16</v>
      </c>
      <c r="S789" s="22">
        <v>2</v>
      </c>
      <c r="T789" s="25">
        <v>1438</v>
      </c>
      <c r="U789" s="22">
        <v>0</v>
      </c>
      <c r="V789" s="20" t="str">
        <f t="shared" si="79"/>
        <v>K-300x190x100</v>
      </c>
    </row>
    <row r="790" spans="1:22" ht="15">
      <c r="A790" s="88" t="s">
        <v>141</v>
      </c>
      <c r="B790" s="76" t="s">
        <v>2167</v>
      </c>
      <c r="C790" s="2">
        <v>350</v>
      </c>
      <c r="D790" s="2">
        <v>100</v>
      </c>
      <c r="E790" s="2">
        <v>150</v>
      </c>
      <c r="F790" s="2">
        <v>150</v>
      </c>
      <c r="G790" s="21">
        <v>5.25</v>
      </c>
      <c r="H790" s="20"/>
      <c r="I790" s="20"/>
      <c r="J790" s="20"/>
      <c r="K790" s="89"/>
      <c r="L790" s="767"/>
      <c r="M790" s="20"/>
      <c r="N790" s="20"/>
      <c r="O790" s="20"/>
      <c r="P790" s="20"/>
      <c r="Q790" s="21"/>
      <c r="R790" s="22" t="s">
        <v>16</v>
      </c>
      <c r="S790" s="22">
        <v>2</v>
      </c>
      <c r="T790" s="25" t="s">
        <v>16</v>
      </c>
      <c r="U790" s="22">
        <v>0</v>
      </c>
      <c r="V790" s="20" t="str">
        <f t="shared" si="79"/>
        <v>K-350x150x100</v>
      </c>
    </row>
    <row r="791" spans="1:22" ht="15">
      <c r="A791" s="88" t="s">
        <v>142</v>
      </c>
      <c r="B791" s="76" t="s">
        <v>2167</v>
      </c>
      <c r="C791" s="2">
        <v>350</v>
      </c>
      <c r="D791" s="2">
        <v>100</v>
      </c>
      <c r="E791" s="2">
        <v>154</v>
      </c>
      <c r="F791" s="2">
        <v>146</v>
      </c>
      <c r="G791" s="21">
        <v>5.25</v>
      </c>
      <c r="H791" s="20"/>
      <c r="I791" s="20"/>
      <c r="J791" s="20"/>
      <c r="K791" s="89"/>
      <c r="L791" s="767"/>
      <c r="M791" s="20"/>
      <c r="N791" s="20"/>
      <c r="O791" s="20"/>
      <c r="P791" s="20"/>
      <c r="Q791" s="21"/>
      <c r="R791" s="22" t="s">
        <v>16</v>
      </c>
      <c r="S791" s="22">
        <v>2</v>
      </c>
      <c r="T791" s="25">
        <v>13476</v>
      </c>
      <c r="U791" s="22">
        <v>0</v>
      </c>
      <c r="V791" s="20" t="str">
        <f t="shared" si="79"/>
        <v>K-350x154x100</v>
      </c>
    </row>
    <row r="792" spans="1:22" ht="15">
      <c r="A792" s="88" t="s">
        <v>143</v>
      </c>
      <c r="B792" s="76" t="s">
        <v>2167</v>
      </c>
      <c r="C792" s="2">
        <v>350</v>
      </c>
      <c r="D792" s="2">
        <v>100</v>
      </c>
      <c r="E792" s="2">
        <v>155</v>
      </c>
      <c r="F792" s="2">
        <v>145</v>
      </c>
      <c r="G792" s="21">
        <v>5.25</v>
      </c>
      <c r="H792" s="20"/>
      <c r="I792" s="20"/>
      <c r="J792" s="20"/>
      <c r="K792" s="89"/>
      <c r="L792" s="767"/>
      <c r="M792" s="20"/>
      <c r="N792" s="20"/>
      <c r="O792" s="20"/>
      <c r="P792" s="20"/>
      <c r="Q792" s="21"/>
      <c r="R792" s="22" t="s">
        <v>16</v>
      </c>
      <c r="S792" s="22">
        <v>2</v>
      </c>
      <c r="T792" s="25">
        <v>10851</v>
      </c>
      <c r="U792" s="22">
        <v>0</v>
      </c>
      <c r="V792" s="20" t="str">
        <f t="shared" si="79"/>
        <v>K-350x155x100</v>
      </c>
    </row>
    <row r="793" spans="1:22" ht="15">
      <c r="A793" s="88" t="s">
        <v>144</v>
      </c>
      <c r="B793" s="76" t="s">
        <v>2167</v>
      </c>
      <c r="C793" s="2">
        <v>350</v>
      </c>
      <c r="D793" s="2">
        <v>100</v>
      </c>
      <c r="E793" s="2">
        <v>158</v>
      </c>
      <c r="F793" s="2">
        <v>142</v>
      </c>
      <c r="G793" s="21">
        <v>5.25</v>
      </c>
      <c r="H793" s="20"/>
      <c r="I793" s="20"/>
      <c r="J793" s="20"/>
      <c r="K793" s="89"/>
      <c r="L793" s="767"/>
      <c r="M793" s="20"/>
      <c r="N793" s="20"/>
      <c r="O793" s="20"/>
      <c r="P793" s="20"/>
      <c r="Q793" s="21"/>
      <c r="R793" s="22" t="s">
        <v>16</v>
      </c>
      <c r="S793" s="22">
        <v>2</v>
      </c>
      <c r="T793" s="25">
        <v>6914</v>
      </c>
      <c r="U793" s="22">
        <v>0</v>
      </c>
      <c r="V793" s="20" t="str">
        <f t="shared" si="79"/>
        <v>K-350x158x100</v>
      </c>
    </row>
    <row r="794" spans="1:22" ht="15">
      <c r="A794" s="88" t="s">
        <v>145</v>
      </c>
      <c r="B794" s="76" t="s">
        <v>2167</v>
      </c>
      <c r="C794" s="2">
        <v>350</v>
      </c>
      <c r="D794" s="2">
        <v>100</v>
      </c>
      <c r="E794" s="2">
        <v>160</v>
      </c>
      <c r="F794" s="2">
        <v>140</v>
      </c>
      <c r="G794" s="21">
        <v>5.25</v>
      </c>
      <c r="H794" s="20"/>
      <c r="I794" s="20"/>
      <c r="J794" s="20"/>
      <c r="K794" s="89"/>
      <c r="L794" s="767"/>
      <c r="M794" s="20"/>
      <c r="N794" s="20"/>
      <c r="O794" s="20"/>
      <c r="P794" s="20"/>
      <c r="Q794" s="21"/>
      <c r="R794" s="22" t="s">
        <v>16</v>
      </c>
      <c r="S794" s="22">
        <v>2</v>
      </c>
      <c r="T794" s="25">
        <v>5602</v>
      </c>
      <c r="U794" s="22">
        <v>0</v>
      </c>
      <c r="V794" s="20" t="str">
        <f t="shared" si="79"/>
        <v>K-350x160x100</v>
      </c>
    </row>
    <row r="795" spans="1:22" ht="15">
      <c r="A795" s="88" t="s">
        <v>146</v>
      </c>
      <c r="B795" s="76" t="s">
        <v>2167</v>
      </c>
      <c r="C795" s="2">
        <v>350</v>
      </c>
      <c r="D795" s="2">
        <v>100</v>
      </c>
      <c r="E795" s="2">
        <v>170</v>
      </c>
      <c r="F795" s="2">
        <v>130</v>
      </c>
      <c r="G795" s="21">
        <v>5.25</v>
      </c>
      <c r="H795" s="20"/>
      <c r="I795" s="20"/>
      <c r="J795" s="20"/>
      <c r="K795" s="89"/>
      <c r="L795" s="767"/>
      <c r="M795" s="20"/>
      <c r="N795" s="20"/>
      <c r="O795" s="20"/>
      <c r="P795" s="20"/>
      <c r="Q795" s="21"/>
      <c r="R795" s="22" t="s">
        <v>16</v>
      </c>
      <c r="S795" s="22">
        <v>2</v>
      </c>
      <c r="T795" s="25">
        <v>2980</v>
      </c>
      <c r="U795" s="22">
        <v>0</v>
      </c>
      <c r="V795" s="20" t="str">
        <f t="shared" si="79"/>
        <v>K-350x170x100</v>
      </c>
    </row>
    <row r="796" spans="1:22" ht="15">
      <c r="A796" s="88" t="s">
        <v>147</v>
      </c>
      <c r="B796" s="76" t="s">
        <v>2167</v>
      </c>
      <c r="C796" s="2">
        <v>350</v>
      </c>
      <c r="D796" s="2">
        <v>100</v>
      </c>
      <c r="E796" s="2">
        <v>180</v>
      </c>
      <c r="F796" s="2">
        <v>120</v>
      </c>
      <c r="G796" s="21">
        <v>5.25</v>
      </c>
      <c r="H796" s="20"/>
      <c r="I796" s="20"/>
      <c r="J796" s="20"/>
      <c r="K796" s="89"/>
      <c r="L796" s="767"/>
      <c r="M796" s="20"/>
      <c r="N796" s="20"/>
      <c r="O796" s="20"/>
      <c r="P796" s="20"/>
      <c r="Q796" s="21"/>
      <c r="R796" s="22" t="s">
        <v>16</v>
      </c>
      <c r="S796" s="22">
        <v>2</v>
      </c>
      <c r="T796" s="25">
        <v>2108</v>
      </c>
      <c r="U796" s="22">
        <v>0</v>
      </c>
      <c r="V796" s="20" t="str">
        <f t="shared" si="79"/>
        <v>K-350x180x100</v>
      </c>
    </row>
    <row r="797" spans="1:22" ht="15">
      <c r="A797" s="88" t="s">
        <v>148</v>
      </c>
      <c r="B797" s="76" t="s">
        <v>2167</v>
      </c>
      <c r="C797" s="2">
        <v>350</v>
      </c>
      <c r="D797" s="2">
        <v>100</v>
      </c>
      <c r="E797" s="2">
        <v>190</v>
      </c>
      <c r="F797" s="2">
        <v>110</v>
      </c>
      <c r="G797" s="21">
        <v>5.25</v>
      </c>
      <c r="H797" s="20"/>
      <c r="I797" s="20"/>
      <c r="J797" s="20"/>
      <c r="K797" s="89"/>
      <c r="L797" s="767"/>
      <c r="M797" s="20"/>
      <c r="N797" s="20"/>
      <c r="O797" s="20"/>
      <c r="P797" s="20"/>
      <c r="Q797" s="21"/>
      <c r="R797" s="22" t="s">
        <v>16</v>
      </c>
      <c r="S797" s="22">
        <v>2</v>
      </c>
      <c r="T797" s="25">
        <v>1673</v>
      </c>
      <c r="U797" s="22">
        <v>0</v>
      </c>
      <c r="V797" s="20" t="str">
        <f t="shared" si="79"/>
        <v>K-350x190x100</v>
      </c>
    </row>
    <row r="798" spans="1:22" ht="15">
      <c r="A798" s="88" t="s">
        <v>149</v>
      </c>
      <c r="B798" s="76" t="s">
        <v>2167</v>
      </c>
      <c r="C798" s="2">
        <v>400</v>
      </c>
      <c r="D798" s="2">
        <v>100</v>
      </c>
      <c r="E798" s="2">
        <v>150</v>
      </c>
      <c r="F798" s="2">
        <v>150</v>
      </c>
      <c r="G798" s="21">
        <v>6</v>
      </c>
      <c r="H798" s="20"/>
      <c r="I798" s="20"/>
      <c r="J798" s="20"/>
      <c r="K798" s="89"/>
      <c r="L798" s="767"/>
      <c r="M798" s="20"/>
      <c r="N798" s="20"/>
      <c r="O798" s="20"/>
      <c r="P798" s="20"/>
      <c r="Q798" s="21"/>
      <c r="R798" s="22" t="s">
        <v>16</v>
      </c>
      <c r="S798" s="22">
        <v>2</v>
      </c>
      <c r="T798" s="25" t="s">
        <v>16</v>
      </c>
      <c r="U798" s="22">
        <v>0</v>
      </c>
      <c r="V798" s="20" t="str">
        <f t="shared" si="79"/>
        <v>K-400x150x100</v>
      </c>
    </row>
    <row r="799" spans="1:22" ht="15">
      <c r="A799" s="88" t="s">
        <v>150</v>
      </c>
      <c r="B799" s="76" t="s">
        <v>2167</v>
      </c>
      <c r="C799" s="2">
        <v>400</v>
      </c>
      <c r="D799" s="2">
        <v>100</v>
      </c>
      <c r="E799" s="2">
        <v>154</v>
      </c>
      <c r="F799" s="2">
        <v>146</v>
      </c>
      <c r="G799" s="21">
        <v>6</v>
      </c>
      <c r="H799" s="20"/>
      <c r="I799" s="20"/>
      <c r="J799" s="20"/>
      <c r="K799" s="89"/>
      <c r="L799" s="767"/>
      <c r="M799" s="20"/>
      <c r="N799" s="20"/>
      <c r="O799" s="20"/>
      <c r="P799" s="20"/>
      <c r="Q799" s="21"/>
      <c r="R799" s="22" t="s">
        <v>16</v>
      </c>
      <c r="S799" s="22">
        <v>2</v>
      </c>
      <c r="T799" s="25">
        <v>15401</v>
      </c>
      <c r="U799" s="22">
        <v>0</v>
      </c>
      <c r="V799" s="20" t="str">
        <f t="shared" si="79"/>
        <v>K-400x154x100</v>
      </c>
    </row>
    <row r="800" spans="1:22" ht="15">
      <c r="A800" s="88" t="s">
        <v>151</v>
      </c>
      <c r="B800" s="76" t="s">
        <v>2167</v>
      </c>
      <c r="C800" s="2">
        <v>400</v>
      </c>
      <c r="D800" s="2">
        <v>100</v>
      </c>
      <c r="E800" s="2">
        <v>160</v>
      </c>
      <c r="F800" s="2">
        <v>140</v>
      </c>
      <c r="G800" s="21">
        <v>6</v>
      </c>
      <c r="H800" s="20"/>
      <c r="I800" s="20"/>
      <c r="J800" s="20"/>
      <c r="K800" s="89"/>
      <c r="L800" s="767"/>
      <c r="M800" s="20"/>
      <c r="N800" s="20"/>
      <c r="O800" s="20"/>
      <c r="P800" s="20"/>
      <c r="Q800" s="21"/>
      <c r="R800" s="22" t="s">
        <v>16</v>
      </c>
      <c r="S800" s="22">
        <v>2</v>
      </c>
      <c r="T800" s="25">
        <v>6402</v>
      </c>
      <c r="U800" s="22">
        <v>0</v>
      </c>
      <c r="V800" s="20" t="str">
        <f t="shared" si="79"/>
        <v>K-400x160x100</v>
      </c>
    </row>
    <row r="801" spans="1:22" ht="15">
      <c r="A801" s="88" t="s">
        <v>152</v>
      </c>
      <c r="B801" s="76" t="s">
        <v>2167</v>
      </c>
      <c r="C801" s="2">
        <v>400</v>
      </c>
      <c r="D801" s="2">
        <v>100</v>
      </c>
      <c r="E801" s="2">
        <v>168</v>
      </c>
      <c r="F801" s="2">
        <v>132</v>
      </c>
      <c r="G801" s="21">
        <v>6</v>
      </c>
      <c r="H801" s="20"/>
      <c r="I801" s="20"/>
      <c r="J801" s="20"/>
      <c r="K801" s="89"/>
      <c r="L801" s="767"/>
      <c r="M801" s="20"/>
      <c r="N801" s="20"/>
      <c r="O801" s="20"/>
      <c r="P801" s="20"/>
      <c r="Q801" s="21"/>
      <c r="R801" s="22" t="s">
        <v>16</v>
      </c>
      <c r="S801" s="22">
        <v>2</v>
      </c>
      <c r="T801" s="25">
        <v>3737</v>
      </c>
      <c r="U801" s="22">
        <v>0</v>
      </c>
      <c r="V801" s="20" t="str">
        <f t="shared" si="79"/>
        <v>K-400x168x100</v>
      </c>
    </row>
    <row r="802" spans="1:22" ht="15">
      <c r="A802" s="88" t="s">
        <v>153</v>
      </c>
      <c r="B802" s="76" t="s">
        <v>2167</v>
      </c>
      <c r="C802" s="2">
        <v>400</v>
      </c>
      <c r="D802" s="2">
        <v>100</v>
      </c>
      <c r="E802" s="2">
        <v>170</v>
      </c>
      <c r="F802" s="2">
        <v>130</v>
      </c>
      <c r="G802" s="21">
        <v>6</v>
      </c>
      <c r="H802" s="20"/>
      <c r="I802" s="20"/>
      <c r="J802" s="20"/>
      <c r="K802" s="89"/>
      <c r="L802" s="767"/>
      <c r="M802" s="20"/>
      <c r="N802" s="20"/>
      <c r="O802" s="20"/>
      <c r="P802" s="20"/>
      <c r="Q802" s="21"/>
      <c r="R802" s="22" t="s">
        <v>16</v>
      </c>
      <c r="S802" s="22">
        <v>2</v>
      </c>
      <c r="T802" s="25">
        <v>3404</v>
      </c>
      <c r="U802" s="22">
        <v>0</v>
      </c>
      <c r="V802" s="20" t="str">
        <f t="shared" si="79"/>
        <v>K-400x170x100</v>
      </c>
    </row>
    <row r="803" spans="1:22" ht="15">
      <c r="A803" s="88" t="s">
        <v>154</v>
      </c>
      <c r="B803" s="76" t="s">
        <v>2167</v>
      </c>
      <c r="C803" s="2">
        <v>400</v>
      </c>
      <c r="D803" s="2">
        <v>100</v>
      </c>
      <c r="E803" s="2">
        <v>180</v>
      </c>
      <c r="F803" s="2">
        <v>120</v>
      </c>
      <c r="G803" s="21">
        <v>6</v>
      </c>
      <c r="H803" s="20"/>
      <c r="I803" s="20"/>
      <c r="J803" s="20"/>
      <c r="K803" s="89"/>
      <c r="L803" s="767"/>
      <c r="M803" s="20"/>
      <c r="N803" s="20"/>
      <c r="O803" s="20"/>
      <c r="P803" s="20"/>
      <c r="Q803" s="21"/>
      <c r="R803" s="22" t="s">
        <v>16</v>
      </c>
      <c r="S803" s="22">
        <v>2</v>
      </c>
      <c r="T803" s="25">
        <v>2407</v>
      </c>
      <c r="U803" s="22">
        <v>0</v>
      </c>
      <c r="V803" s="20" t="str">
        <f t="shared" si="79"/>
        <v>K-400x180x100</v>
      </c>
    </row>
    <row r="804" spans="1:22" ht="15">
      <c r="A804" s="88" t="s">
        <v>155</v>
      </c>
      <c r="B804" s="76" t="s">
        <v>2167</v>
      </c>
      <c r="C804" s="2">
        <v>400</v>
      </c>
      <c r="D804" s="2">
        <v>100</v>
      </c>
      <c r="E804" s="2">
        <v>190</v>
      </c>
      <c r="F804" s="2">
        <v>110</v>
      </c>
      <c r="G804" s="21">
        <v>6</v>
      </c>
      <c r="H804" s="20"/>
      <c r="I804" s="20"/>
      <c r="J804" s="20"/>
      <c r="K804" s="89"/>
      <c r="L804" s="767"/>
      <c r="M804" s="20"/>
      <c r="N804" s="20"/>
      <c r="O804" s="20"/>
      <c r="P804" s="20"/>
      <c r="Q804" s="21"/>
      <c r="R804" s="22" t="s">
        <v>16</v>
      </c>
      <c r="S804" s="22">
        <v>2</v>
      </c>
      <c r="T804" s="25">
        <v>1909</v>
      </c>
      <c r="U804" s="22">
        <v>0</v>
      </c>
      <c r="V804" s="20" t="str">
        <f t="shared" si="79"/>
        <v>K-400x190x100</v>
      </c>
    </row>
    <row r="805" spans="1:22" ht="15">
      <c r="A805" s="88" t="s">
        <v>156</v>
      </c>
      <c r="B805" s="76" t="s">
        <v>2167</v>
      </c>
      <c r="C805" s="2">
        <v>400</v>
      </c>
      <c r="D805" s="2">
        <v>100</v>
      </c>
      <c r="E805" s="2">
        <v>195</v>
      </c>
      <c r="F805" s="2">
        <v>105</v>
      </c>
      <c r="G805" s="21">
        <v>6</v>
      </c>
      <c r="H805" s="20"/>
      <c r="I805" s="20"/>
      <c r="J805" s="20"/>
      <c r="K805" s="89"/>
      <c r="L805" s="767"/>
      <c r="M805" s="20"/>
      <c r="N805" s="20"/>
      <c r="O805" s="20"/>
      <c r="P805" s="20"/>
      <c r="Q805" s="21"/>
      <c r="R805" s="22" t="s">
        <v>16</v>
      </c>
      <c r="S805" s="22">
        <v>2</v>
      </c>
      <c r="T805" s="25">
        <v>1744</v>
      </c>
      <c r="U805" s="22">
        <v>0</v>
      </c>
      <c r="V805" s="20" t="str">
        <f t="shared" si="79"/>
        <v>K-400x195x100</v>
      </c>
    </row>
    <row r="806" spans="1:22" ht="15">
      <c r="A806" s="88" t="s">
        <v>157</v>
      </c>
      <c r="B806" s="76" t="s">
        <v>2167</v>
      </c>
      <c r="C806" s="2">
        <v>400</v>
      </c>
      <c r="D806" s="2">
        <v>100</v>
      </c>
      <c r="E806" s="2">
        <v>200</v>
      </c>
      <c r="F806" s="2">
        <v>100</v>
      </c>
      <c r="G806" s="21">
        <v>6</v>
      </c>
      <c r="H806" s="20"/>
      <c r="I806" s="20"/>
      <c r="J806" s="20"/>
      <c r="K806" s="89"/>
      <c r="L806" s="767"/>
      <c r="M806" s="20"/>
      <c r="N806" s="20"/>
      <c r="O806" s="20"/>
      <c r="P806" s="20"/>
      <c r="Q806" s="21"/>
      <c r="R806" s="22" t="s">
        <v>16</v>
      </c>
      <c r="S806" s="22">
        <v>2</v>
      </c>
      <c r="T806" s="25">
        <v>1612</v>
      </c>
      <c r="U806" s="22">
        <v>0</v>
      </c>
      <c r="V806" s="20" t="str">
        <f t="shared" si="79"/>
        <v>K-400x200x100</v>
      </c>
    </row>
    <row r="807" spans="1:22" ht="15">
      <c r="A807" s="88" t="s">
        <v>158</v>
      </c>
      <c r="B807" s="76" t="s">
        <v>2167</v>
      </c>
      <c r="C807" s="2">
        <v>450</v>
      </c>
      <c r="D807" s="2">
        <v>100</v>
      </c>
      <c r="E807" s="2">
        <v>150</v>
      </c>
      <c r="F807" s="2">
        <v>150</v>
      </c>
      <c r="G807" s="21">
        <v>6.75</v>
      </c>
      <c r="H807" s="20"/>
      <c r="I807" s="20"/>
      <c r="J807" s="20"/>
      <c r="K807" s="89"/>
      <c r="L807" s="767"/>
      <c r="M807" s="20"/>
      <c r="N807" s="20"/>
      <c r="O807" s="20"/>
      <c r="P807" s="20"/>
      <c r="Q807" s="21"/>
      <c r="R807" s="22" t="s">
        <v>16</v>
      </c>
      <c r="S807" s="22">
        <v>2</v>
      </c>
      <c r="T807" s="25" t="s">
        <v>16</v>
      </c>
      <c r="U807" s="22">
        <v>0</v>
      </c>
      <c r="V807" s="20" t="str">
        <f t="shared" si="79"/>
        <v>K-450x150x100</v>
      </c>
    </row>
    <row r="808" spans="1:22" ht="15">
      <c r="A808" s="88" t="s">
        <v>159</v>
      </c>
      <c r="B808" s="76" t="s">
        <v>2167</v>
      </c>
      <c r="C808" s="2">
        <v>450</v>
      </c>
      <c r="D808" s="2">
        <v>100</v>
      </c>
      <c r="E808" s="2">
        <v>154</v>
      </c>
      <c r="F808" s="2">
        <v>146</v>
      </c>
      <c r="G808" s="21">
        <v>6.75</v>
      </c>
      <c r="H808" s="20"/>
      <c r="I808" s="20"/>
      <c r="J808" s="20"/>
      <c r="K808" s="89"/>
      <c r="L808" s="767"/>
      <c r="M808" s="20"/>
      <c r="N808" s="20"/>
      <c r="O808" s="20"/>
      <c r="P808" s="20"/>
      <c r="Q808" s="21"/>
      <c r="R808" s="22" t="s">
        <v>16</v>
      </c>
      <c r="S808" s="22">
        <v>2</v>
      </c>
      <c r="T808" s="25">
        <v>17326</v>
      </c>
      <c r="U808" s="22">
        <v>0</v>
      </c>
      <c r="V808" s="20" t="str">
        <f t="shared" si="79"/>
        <v>K-450x154x100</v>
      </c>
    </row>
    <row r="809" spans="1:22" ht="15">
      <c r="A809" s="88" t="s">
        <v>160</v>
      </c>
      <c r="B809" s="76" t="s">
        <v>2167</v>
      </c>
      <c r="C809" s="2">
        <v>450</v>
      </c>
      <c r="D809" s="2">
        <v>100</v>
      </c>
      <c r="E809" s="2">
        <v>155</v>
      </c>
      <c r="F809" s="2">
        <v>145</v>
      </c>
      <c r="G809" s="21">
        <v>6.75</v>
      </c>
      <c r="H809" s="20"/>
      <c r="I809" s="20"/>
      <c r="J809" s="20"/>
      <c r="K809" s="89"/>
      <c r="L809" s="767"/>
      <c r="M809" s="20"/>
      <c r="N809" s="20"/>
      <c r="O809" s="20"/>
      <c r="P809" s="20"/>
      <c r="Q809" s="21"/>
      <c r="R809" s="22" t="s">
        <v>16</v>
      </c>
      <c r="S809" s="22">
        <v>2</v>
      </c>
      <c r="T809" s="26">
        <v>13951</v>
      </c>
      <c r="U809" s="22">
        <v>0</v>
      </c>
      <c r="V809" s="20" t="str">
        <f t="shared" si="79"/>
        <v>K-450x155x100</v>
      </c>
    </row>
    <row r="810" spans="1:22" ht="15">
      <c r="A810" s="88" t="s">
        <v>161</v>
      </c>
      <c r="B810" s="76" t="s">
        <v>2167</v>
      </c>
      <c r="C810" s="2">
        <v>450</v>
      </c>
      <c r="D810" s="2">
        <v>100</v>
      </c>
      <c r="E810" s="2">
        <v>160</v>
      </c>
      <c r="F810" s="2">
        <v>140</v>
      </c>
      <c r="G810" s="21">
        <v>6.75</v>
      </c>
      <c r="H810" s="20"/>
      <c r="I810" s="20"/>
      <c r="J810" s="20"/>
      <c r="K810" s="89"/>
      <c r="L810" s="767"/>
      <c r="M810" s="20"/>
      <c r="N810" s="20"/>
      <c r="O810" s="20"/>
      <c r="P810" s="20"/>
      <c r="Q810" s="21"/>
      <c r="R810" s="22" t="s">
        <v>16</v>
      </c>
      <c r="S810" s="22">
        <v>2</v>
      </c>
      <c r="T810" s="27">
        <v>7202</v>
      </c>
      <c r="U810" s="22">
        <v>0</v>
      </c>
      <c r="V810" s="20" t="str">
        <f t="shared" si="79"/>
        <v>K-450x160x100</v>
      </c>
    </row>
    <row r="811" spans="1:22" ht="15">
      <c r="A811" s="88" t="s">
        <v>162</v>
      </c>
      <c r="B811" s="76" t="s">
        <v>2167</v>
      </c>
      <c r="C811" s="2">
        <v>450</v>
      </c>
      <c r="D811" s="2">
        <v>100</v>
      </c>
      <c r="E811" s="2">
        <v>165</v>
      </c>
      <c r="F811" s="2">
        <v>135</v>
      </c>
      <c r="G811" s="21">
        <v>6.75</v>
      </c>
      <c r="H811" s="20"/>
      <c r="I811" s="20"/>
      <c r="J811" s="20"/>
      <c r="K811" s="89"/>
      <c r="L811" s="767"/>
      <c r="M811" s="20"/>
      <c r="N811" s="20"/>
      <c r="O811" s="20"/>
      <c r="P811" s="20"/>
      <c r="Q811" s="21"/>
      <c r="R811" s="22" t="s">
        <v>16</v>
      </c>
      <c r="S811" s="22">
        <v>2</v>
      </c>
      <c r="T811" s="25">
        <v>4953</v>
      </c>
      <c r="U811" s="22">
        <v>0</v>
      </c>
      <c r="V811" s="20" t="str">
        <f t="shared" si="79"/>
        <v>K-450x165x100</v>
      </c>
    </row>
    <row r="812" spans="1:22" ht="15">
      <c r="A812" s="88" t="s">
        <v>163</v>
      </c>
      <c r="B812" s="76" t="s">
        <v>2167</v>
      </c>
      <c r="C812" s="2">
        <v>450</v>
      </c>
      <c r="D812" s="2">
        <v>100</v>
      </c>
      <c r="E812" s="2">
        <v>170</v>
      </c>
      <c r="F812" s="2">
        <v>130</v>
      </c>
      <c r="G812" s="21">
        <v>6.75</v>
      </c>
      <c r="H812" s="20"/>
      <c r="I812" s="20"/>
      <c r="J812" s="20"/>
      <c r="K812" s="89"/>
      <c r="L812" s="767"/>
      <c r="M812" s="20"/>
      <c r="N812" s="20"/>
      <c r="O812" s="20"/>
      <c r="P812" s="20"/>
      <c r="Q812" s="21"/>
      <c r="R812" s="22" t="s">
        <v>16</v>
      </c>
      <c r="S812" s="22">
        <v>2</v>
      </c>
      <c r="T812" s="25">
        <v>3829</v>
      </c>
      <c r="U812" s="22">
        <v>0</v>
      </c>
      <c r="V812" s="20" t="str">
        <f t="shared" si="79"/>
        <v>K-450x170x100</v>
      </c>
    </row>
    <row r="813" spans="1:22" ht="14.25" customHeight="1">
      <c r="A813" s="88" t="s">
        <v>164</v>
      </c>
      <c r="B813" s="76" t="s">
        <v>2167</v>
      </c>
      <c r="C813" s="2">
        <v>450</v>
      </c>
      <c r="D813" s="2">
        <v>100</v>
      </c>
      <c r="E813" s="2">
        <v>175</v>
      </c>
      <c r="F813" s="2">
        <v>125</v>
      </c>
      <c r="G813" s="21">
        <v>6.75</v>
      </c>
      <c r="H813" s="20"/>
      <c r="I813" s="20"/>
      <c r="J813" s="20"/>
      <c r="K813" s="89"/>
      <c r="L813" s="767"/>
      <c r="M813" s="20"/>
      <c r="N813" s="20"/>
      <c r="O813" s="20"/>
      <c r="P813" s="20"/>
      <c r="Q813" s="21"/>
      <c r="R813" s="22" t="s">
        <v>16</v>
      </c>
      <c r="S813" s="22">
        <v>2</v>
      </c>
      <c r="T813" s="25">
        <v>3155</v>
      </c>
      <c r="U813" s="22">
        <v>0</v>
      </c>
      <c r="V813" s="20" t="str">
        <f t="shared" si="79"/>
        <v>K-450x175x100</v>
      </c>
    </row>
    <row r="814" spans="1:22" ht="15">
      <c r="A814" s="88" t="s">
        <v>165</v>
      </c>
      <c r="B814" s="76" t="s">
        <v>2167</v>
      </c>
      <c r="C814" s="2">
        <v>450</v>
      </c>
      <c r="D814" s="2">
        <v>100</v>
      </c>
      <c r="E814" s="2">
        <v>180</v>
      </c>
      <c r="F814" s="2">
        <v>120</v>
      </c>
      <c r="G814" s="21">
        <v>6.75</v>
      </c>
      <c r="H814" s="20"/>
      <c r="I814" s="20"/>
      <c r="J814" s="20"/>
      <c r="K814" s="89"/>
      <c r="L814" s="767"/>
      <c r="M814" s="20"/>
      <c r="N814" s="20"/>
      <c r="O814" s="20"/>
      <c r="P814" s="20"/>
      <c r="Q814" s="21"/>
      <c r="R814" s="22" t="s">
        <v>16</v>
      </c>
      <c r="S814" s="22">
        <v>2</v>
      </c>
      <c r="T814" s="25">
        <v>2706</v>
      </c>
      <c r="U814" s="22">
        <v>0</v>
      </c>
      <c r="V814" s="20" t="str">
        <f t="shared" si="79"/>
        <v>K-450x180x100</v>
      </c>
    </row>
    <row r="815" spans="1:22" ht="15">
      <c r="A815" s="88" t="s">
        <v>166</v>
      </c>
      <c r="B815" s="76" t="s">
        <v>2167</v>
      </c>
      <c r="C815" s="2">
        <v>450</v>
      </c>
      <c r="D815" s="2">
        <v>100</v>
      </c>
      <c r="E815" s="2">
        <v>185</v>
      </c>
      <c r="F815" s="2">
        <v>115</v>
      </c>
      <c r="G815" s="21">
        <v>6.75</v>
      </c>
      <c r="H815" s="20"/>
      <c r="I815" s="20"/>
      <c r="J815" s="20"/>
      <c r="K815" s="89"/>
      <c r="L815" s="767"/>
      <c r="M815" s="20"/>
      <c r="N815" s="20"/>
      <c r="O815" s="20"/>
      <c r="P815" s="20"/>
      <c r="Q815" s="21"/>
      <c r="R815" s="22" t="s">
        <v>16</v>
      </c>
      <c r="S815" s="22">
        <v>2</v>
      </c>
      <c r="T815" s="25">
        <v>2386</v>
      </c>
      <c r="U815" s="22">
        <v>0</v>
      </c>
      <c r="V815" s="20" t="str">
        <f t="shared" si="79"/>
        <v>K-450x185x100</v>
      </c>
    </row>
    <row r="816" spans="1:22" ht="14.25" customHeight="1">
      <c r="A816" s="88" t="s">
        <v>167</v>
      </c>
      <c r="B816" s="76" t="s">
        <v>2167</v>
      </c>
      <c r="C816" s="2">
        <v>450</v>
      </c>
      <c r="D816" s="2">
        <v>100</v>
      </c>
      <c r="E816" s="2">
        <v>190</v>
      </c>
      <c r="F816" s="2">
        <v>110</v>
      </c>
      <c r="G816" s="21">
        <v>6.75</v>
      </c>
      <c r="H816" s="20"/>
      <c r="I816" s="20"/>
      <c r="J816" s="20"/>
      <c r="K816" s="89"/>
      <c r="L816" s="767"/>
      <c r="M816" s="20"/>
      <c r="N816" s="20"/>
      <c r="O816" s="20"/>
      <c r="P816" s="20"/>
      <c r="Q816" s="21"/>
      <c r="R816" s="22" t="s">
        <v>16</v>
      </c>
      <c r="S816" s="22">
        <v>2</v>
      </c>
      <c r="T816" s="25">
        <v>2146</v>
      </c>
      <c r="U816" s="22">
        <v>0</v>
      </c>
      <c r="V816" s="20" t="str">
        <f t="shared" si="79"/>
        <v>K-450x190x100</v>
      </c>
    </row>
    <row r="817" spans="1:22" ht="15">
      <c r="A817" s="88" t="s">
        <v>168</v>
      </c>
      <c r="B817" s="76" t="s">
        <v>2167</v>
      </c>
      <c r="C817" s="2">
        <v>450</v>
      </c>
      <c r="D817" s="2">
        <v>100</v>
      </c>
      <c r="E817" s="2">
        <v>195</v>
      </c>
      <c r="F817" s="2">
        <v>105</v>
      </c>
      <c r="G817" s="21">
        <v>6.75</v>
      </c>
      <c r="H817" s="20"/>
      <c r="I817" s="20"/>
      <c r="J817" s="20"/>
      <c r="K817" s="89"/>
      <c r="L817" s="767"/>
      <c r="M817" s="20"/>
      <c r="N817" s="20"/>
      <c r="O817" s="20"/>
      <c r="P817" s="20"/>
      <c r="Q817" s="21"/>
      <c r="R817" s="22" t="s">
        <v>16</v>
      </c>
      <c r="S817" s="22">
        <v>2</v>
      </c>
      <c r="T817" s="25">
        <v>1960</v>
      </c>
      <c r="U817" s="22">
        <v>0</v>
      </c>
      <c r="V817" s="20" t="str">
        <f t="shared" si="79"/>
        <v>K-450x195x100</v>
      </c>
    </row>
    <row r="818" spans="1:22" ht="15">
      <c r="A818" s="88" t="s">
        <v>169</v>
      </c>
      <c r="B818" s="76" t="s">
        <v>2167</v>
      </c>
      <c r="C818" s="2">
        <v>500</v>
      </c>
      <c r="D818" s="2">
        <v>100</v>
      </c>
      <c r="E818" s="2">
        <v>150</v>
      </c>
      <c r="F818" s="2">
        <v>150</v>
      </c>
      <c r="G818" s="21">
        <v>7.5</v>
      </c>
      <c r="H818" s="20"/>
      <c r="I818" s="20"/>
      <c r="J818" s="20"/>
      <c r="K818" s="89"/>
      <c r="L818" s="767"/>
      <c r="M818" s="20"/>
      <c r="N818" s="20"/>
      <c r="O818" s="20"/>
      <c r="P818" s="20"/>
      <c r="Q818" s="21"/>
      <c r="R818" s="22" t="s">
        <v>16</v>
      </c>
      <c r="S818" s="22">
        <v>2</v>
      </c>
      <c r="T818" s="25" t="s">
        <v>16</v>
      </c>
      <c r="U818" s="22">
        <v>0</v>
      </c>
      <c r="V818" s="20" t="str">
        <f t="shared" ref="V818:V849" si="80">B818&amp;"-"&amp;C818&amp;"x"&amp;E818&amp;"x"&amp;D818</f>
        <v>K-500x150x100</v>
      </c>
    </row>
    <row r="819" spans="1:22" ht="14.25" customHeight="1">
      <c r="A819" s="88" t="s">
        <v>170</v>
      </c>
      <c r="B819" s="76" t="s">
        <v>2167</v>
      </c>
      <c r="C819" s="2">
        <v>500</v>
      </c>
      <c r="D819" s="2">
        <v>100</v>
      </c>
      <c r="E819" s="2">
        <v>154</v>
      </c>
      <c r="F819" s="2">
        <v>146</v>
      </c>
      <c r="G819" s="21">
        <v>7.5</v>
      </c>
      <c r="H819" s="20"/>
      <c r="I819" s="20"/>
      <c r="J819" s="20"/>
      <c r="K819" s="89"/>
      <c r="L819" s="767"/>
      <c r="M819" s="20"/>
      <c r="N819" s="20"/>
      <c r="O819" s="20"/>
      <c r="P819" s="20"/>
      <c r="Q819" s="21"/>
      <c r="R819" s="22" t="s">
        <v>16</v>
      </c>
      <c r="S819" s="22">
        <v>2</v>
      </c>
      <c r="T819" s="25">
        <v>19251</v>
      </c>
      <c r="U819" s="22">
        <v>0</v>
      </c>
      <c r="V819" s="20" t="str">
        <f t="shared" si="80"/>
        <v>K-500x154x100</v>
      </c>
    </row>
    <row r="820" spans="1:22" ht="15">
      <c r="A820" s="88" t="s">
        <v>171</v>
      </c>
      <c r="B820" s="76" t="s">
        <v>2167</v>
      </c>
      <c r="C820" s="2">
        <v>500</v>
      </c>
      <c r="D820" s="2">
        <v>100</v>
      </c>
      <c r="E820" s="2">
        <v>160</v>
      </c>
      <c r="F820" s="2">
        <v>140</v>
      </c>
      <c r="G820" s="21">
        <v>7.5</v>
      </c>
      <c r="H820" s="20"/>
      <c r="I820" s="20"/>
      <c r="J820" s="20"/>
      <c r="K820" s="89"/>
      <c r="L820" s="767"/>
      <c r="M820" s="20"/>
      <c r="N820" s="20"/>
      <c r="O820" s="20"/>
      <c r="P820" s="20"/>
      <c r="Q820" s="21"/>
      <c r="R820" s="22" t="s">
        <v>16</v>
      </c>
      <c r="S820" s="22">
        <v>2</v>
      </c>
      <c r="T820" s="25">
        <v>8002</v>
      </c>
      <c r="U820" s="22">
        <v>0</v>
      </c>
      <c r="V820" s="20" t="str">
        <f t="shared" si="80"/>
        <v>K-500x160x100</v>
      </c>
    </row>
    <row r="821" spans="1:22" ht="15">
      <c r="A821" s="88" t="s">
        <v>172</v>
      </c>
      <c r="B821" s="76" t="s">
        <v>2167</v>
      </c>
      <c r="C821" s="2">
        <v>500</v>
      </c>
      <c r="D821" s="2">
        <v>100</v>
      </c>
      <c r="E821" s="2">
        <v>168</v>
      </c>
      <c r="F821" s="2">
        <v>132</v>
      </c>
      <c r="G821" s="21">
        <v>7.5</v>
      </c>
      <c r="H821" s="20"/>
      <c r="I821" s="20"/>
      <c r="J821" s="20"/>
      <c r="K821" s="89"/>
      <c r="L821" s="767"/>
      <c r="M821" s="20"/>
      <c r="N821" s="20"/>
      <c r="O821" s="20"/>
      <c r="P821" s="20"/>
      <c r="Q821" s="21"/>
      <c r="R821" s="22" t="s">
        <v>16</v>
      </c>
      <c r="S821" s="22">
        <v>2</v>
      </c>
      <c r="T821" s="25">
        <v>4670</v>
      </c>
      <c r="U821" s="22">
        <v>0</v>
      </c>
      <c r="V821" s="20" t="str">
        <f t="shared" si="80"/>
        <v>K-500x168x100</v>
      </c>
    </row>
    <row r="822" spans="1:22" ht="14.25" customHeight="1">
      <c r="A822" s="88" t="s">
        <v>173</v>
      </c>
      <c r="B822" s="76" t="s">
        <v>2167</v>
      </c>
      <c r="C822" s="2">
        <v>500</v>
      </c>
      <c r="D822" s="2">
        <v>100</v>
      </c>
      <c r="E822" s="2">
        <v>170</v>
      </c>
      <c r="F822" s="2">
        <v>130</v>
      </c>
      <c r="G822" s="21">
        <v>7.5</v>
      </c>
      <c r="H822" s="20"/>
      <c r="I822" s="20"/>
      <c r="J822" s="20"/>
      <c r="K822" s="89"/>
      <c r="L822" s="767"/>
      <c r="M822" s="20"/>
      <c r="N822" s="20"/>
      <c r="O822" s="20"/>
      <c r="P822" s="20"/>
      <c r="Q822" s="21"/>
      <c r="R822" s="22" t="s">
        <v>16</v>
      </c>
      <c r="S822" s="22">
        <v>2</v>
      </c>
      <c r="T822" s="25">
        <v>4253</v>
      </c>
      <c r="U822" s="22">
        <v>0</v>
      </c>
      <c r="V822" s="20" t="str">
        <f t="shared" si="80"/>
        <v>K-500x170x100</v>
      </c>
    </row>
    <row r="823" spans="1:22" ht="15">
      <c r="A823" s="88" t="s">
        <v>174</v>
      </c>
      <c r="B823" s="76" t="s">
        <v>2167</v>
      </c>
      <c r="C823" s="2">
        <v>500</v>
      </c>
      <c r="D823" s="2">
        <v>100</v>
      </c>
      <c r="E823" s="2">
        <v>175</v>
      </c>
      <c r="F823" s="2">
        <v>125</v>
      </c>
      <c r="G823" s="21">
        <v>7.5</v>
      </c>
      <c r="H823" s="20"/>
      <c r="I823" s="20"/>
      <c r="J823" s="20"/>
      <c r="K823" s="89"/>
      <c r="L823" s="767"/>
      <c r="M823" s="20"/>
      <c r="N823" s="20"/>
      <c r="O823" s="20"/>
      <c r="P823" s="20"/>
      <c r="Q823" s="21"/>
      <c r="R823" s="22" t="s">
        <v>16</v>
      </c>
      <c r="S823" s="22">
        <v>2</v>
      </c>
      <c r="T823" s="25">
        <v>3504</v>
      </c>
      <c r="U823" s="22">
        <v>0</v>
      </c>
      <c r="V823" s="20" t="str">
        <f t="shared" si="80"/>
        <v>K-500x175x100</v>
      </c>
    </row>
    <row r="824" spans="1:22" ht="15">
      <c r="A824" s="88" t="s">
        <v>175</v>
      </c>
      <c r="B824" s="76" t="s">
        <v>2167</v>
      </c>
      <c r="C824" s="2">
        <v>500</v>
      </c>
      <c r="D824" s="2">
        <v>100</v>
      </c>
      <c r="E824" s="2">
        <v>180</v>
      </c>
      <c r="F824" s="2">
        <v>120</v>
      </c>
      <c r="G824" s="21">
        <v>7.5</v>
      </c>
      <c r="H824" s="20"/>
      <c r="I824" s="20"/>
      <c r="J824" s="20"/>
      <c r="K824" s="89"/>
      <c r="L824" s="767"/>
      <c r="M824" s="20"/>
      <c r="N824" s="20"/>
      <c r="O824" s="20"/>
      <c r="P824" s="20"/>
      <c r="Q824" s="21"/>
      <c r="R824" s="22" t="s">
        <v>16</v>
      </c>
      <c r="S824" s="22">
        <v>2</v>
      </c>
      <c r="T824" s="25">
        <v>3005</v>
      </c>
      <c r="U824" s="22">
        <v>0</v>
      </c>
      <c r="V824" s="20" t="str">
        <f t="shared" si="80"/>
        <v>K-500x180x100</v>
      </c>
    </row>
    <row r="825" spans="1:22" ht="14.25" customHeight="1">
      <c r="A825" s="88" t="s">
        <v>176</v>
      </c>
      <c r="B825" s="76" t="s">
        <v>2167</v>
      </c>
      <c r="C825" s="2">
        <v>500</v>
      </c>
      <c r="D825" s="2">
        <v>100</v>
      </c>
      <c r="E825" s="2">
        <v>190</v>
      </c>
      <c r="F825" s="2">
        <v>110</v>
      </c>
      <c r="G825" s="21">
        <v>7.5</v>
      </c>
      <c r="H825" s="20"/>
      <c r="I825" s="20"/>
      <c r="J825" s="20"/>
      <c r="K825" s="89"/>
      <c r="L825" s="767"/>
      <c r="M825" s="20"/>
      <c r="N825" s="20"/>
      <c r="O825" s="20"/>
      <c r="P825" s="20"/>
      <c r="Q825" s="21"/>
      <c r="R825" s="22" t="s">
        <v>16</v>
      </c>
      <c r="S825" s="22">
        <v>2</v>
      </c>
      <c r="T825" s="25">
        <v>2383</v>
      </c>
      <c r="U825" s="22">
        <v>0</v>
      </c>
      <c r="V825" s="20" t="str">
        <f t="shared" si="80"/>
        <v>K-500x190x100</v>
      </c>
    </row>
    <row r="826" spans="1:22" ht="14.25" customHeight="1">
      <c r="A826" s="88" t="s">
        <v>177</v>
      </c>
      <c r="B826" s="76" t="s">
        <v>2167</v>
      </c>
      <c r="C826" s="2">
        <v>500</v>
      </c>
      <c r="D826" s="2">
        <v>100</v>
      </c>
      <c r="E826" s="2">
        <v>195</v>
      </c>
      <c r="F826" s="2">
        <v>105</v>
      </c>
      <c r="G826" s="21">
        <v>7.5</v>
      </c>
      <c r="H826" s="20"/>
      <c r="I826" s="20"/>
      <c r="J826" s="20"/>
      <c r="K826" s="89"/>
      <c r="L826" s="767"/>
      <c r="M826" s="20"/>
      <c r="N826" s="20"/>
      <c r="O826" s="20"/>
      <c r="P826" s="20"/>
      <c r="Q826" s="21"/>
      <c r="R826" s="22" t="s">
        <v>16</v>
      </c>
      <c r="S826" s="22">
        <v>2</v>
      </c>
      <c r="T826" s="25">
        <v>2175</v>
      </c>
      <c r="U826" s="22">
        <v>0</v>
      </c>
      <c r="V826" s="20" t="str">
        <f t="shared" si="80"/>
        <v>K-500x195x100</v>
      </c>
    </row>
    <row r="827" spans="1:22" ht="15">
      <c r="A827" s="88" t="s">
        <v>178</v>
      </c>
      <c r="B827" s="76" t="s">
        <v>2167</v>
      </c>
      <c r="C827" s="2">
        <v>500</v>
      </c>
      <c r="D827" s="2">
        <v>100</v>
      </c>
      <c r="E827" s="2">
        <v>200</v>
      </c>
      <c r="F827" s="2">
        <v>100</v>
      </c>
      <c r="G827" s="21">
        <v>7.5</v>
      </c>
      <c r="H827" s="20"/>
      <c r="I827" s="20"/>
      <c r="J827" s="20"/>
      <c r="K827" s="89"/>
      <c r="L827" s="767"/>
      <c r="M827" s="20"/>
      <c r="N827" s="20"/>
      <c r="O827" s="20"/>
      <c r="P827" s="20"/>
      <c r="Q827" s="21"/>
      <c r="R827" s="22" t="s">
        <v>16</v>
      </c>
      <c r="S827" s="22">
        <v>2</v>
      </c>
      <c r="T827" s="25">
        <v>2010</v>
      </c>
      <c r="U827" s="22">
        <v>0</v>
      </c>
      <c r="V827" s="20" t="str">
        <f t="shared" si="80"/>
        <v>K-500x200x100</v>
      </c>
    </row>
    <row r="828" spans="1:22" ht="15">
      <c r="A828" s="88" t="s">
        <v>179</v>
      </c>
      <c r="B828" s="76" t="s">
        <v>2167</v>
      </c>
      <c r="C828" s="2">
        <v>550</v>
      </c>
      <c r="D828" s="2">
        <v>100</v>
      </c>
      <c r="E828" s="2">
        <v>150</v>
      </c>
      <c r="F828" s="2">
        <v>150</v>
      </c>
      <c r="G828" s="21">
        <v>8.25</v>
      </c>
      <c r="H828" s="20"/>
      <c r="I828" s="20"/>
      <c r="J828" s="20"/>
      <c r="K828" s="89"/>
      <c r="L828" s="767"/>
      <c r="M828" s="20"/>
      <c r="N828" s="20"/>
      <c r="O828" s="20"/>
      <c r="P828" s="20"/>
      <c r="Q828" s="21"/>
      <c r="R828" s="22" t="s">
        <v>16</v>
      </c>
      <c r="S828" s="22">
        <v>2</v>
      </c>
      <c r="T828" s="25" t="s">
        <v>16</v>
      </c>
      <c r="U828" s="22">
        <v>0</v>
      </c>
      <c r="V828" s="20" t="str">
        <f t="shared" si="80"/>
        <v>K-550x150x100</v>
      </c>
    </row>
    <row r="829" spans="1:22" ht="14.25" customHeight="1">
      <c r="A829" s="88" t="s">
        <v>180</v>
      </c>
      <c r="B829" s="76" t="s">
        <v>2167</v>
      </c>
      <c r="C829" s="2">
        <v>550</v>
      </c>
      <c r="D829" s="2">
        <v>100</v>
      </c>
      <c r="E829" s="2">
        <v>154</v>
      </c>
      <c r="F829" s="2">
        <v>146</v>
      </c>
      <c r="G829" s="21">
        <v>8.25</v>
      </c>
      <c r="H829" s="20"/>
      <c r="I829" s="20"/>
      <c r="J829" s="20"/>
      <c r="K829" s="89"/>
      <c r="L829" s="767"/>
      <c r="M829" s="20"/>
      <c r="N829" s="20"/>
      <c r="O829" s="20"/>
      <c r="P829" s="20"/>
      <c r="Q829" s="21"/>
      <c r="R829" s="22" t="s">
        <v>16</v>
      </c>
      <c r="S829" s="22">
        <v>2</v>
      </c>
      <c r="T829" s="25">
        <v>21176</v>
      </c>
      <c r="U829" s="22">
        <v>0</v>
      </c>
      <c r="V829" s="20" t="str">
        <f t="shared" si="80"/>
        <v>K-550x154x100</v>
      </c>
    </row>
    <row r="830" spans="1:22" ht="15">
      <c r="A830" s="88" t="s">
        <v>181</v>
      </c>
      <c r="B830" s="76" t="s">
        <v>2167</v>
      </c>
      <c r="C830" s="2">
        <v>550</v>
      </c>
      <c r="D830" s="2">
        <v>100</v>
      </c>
      <c r="E830" s="2">
        <v>160</v>
      </c>
      <c r="F830" s="2">
        <v>140</v>
      </c>
      <c r="G830" s="21">
        <v>8.25</v>
      </c>
      <c r="H830" s="20"/>
      <c r="I830" s="20"/>
      <c r="J830" s="20"/>
      <c r="K830" s="89"/>
      <c r="L830" s="767"/>
      <c r="M830" s="20"/>
      <c r="N830" s="20"/>
      <c r="O830" s="20"/>
      <c r="P830" s="20"/>
      <c r="Q830" s="21"/>
      <c r="R830" s="22" t="s">
        <v>16</v>
      </c>
      <c r="S830" s="22">
        <v>2</v>
      </c>
      <c r="T830" s="25">
        <v>8801</v>
      </c>
      <c r="U830" s="22">
        <v>0</v>
      </c>
      <c r="V830" s="20" t="str">
        <f t="shared" si="80"/>
        <v>K-550x160x100</v>
      </c>
    </row>
    <row r="831" spans="1:22" ht="15">
      <c r="A831" s="88" t="s">
        <v>182</v>
      </c>
      <c r="B831" s="76" t="s">
        <v>2167</v>
      </c>
      <c r="C831" s="2">
        <v>550</v>
      </c>
      <c r="D831" s="2">
        <v>100</v>
      </c>
      <c r="E831" s="2">
        <v>168</v>
      </c>
      <c r="F831" s="2">
        <v>132</v>
      </c>
      <c r="G831" s="21">
        <v>8.25</v>
      </c>
      <c r="H831" s="20"/>
      <c r="I831" s="20"/>
      <c r="J831" s="20"/>
      <c r="K831" s="89"/>
      <c r="L831" s="767"/>
      <c r="M831" s="20"/>
      <c r="N831" s="20"/>
      <c r="O831" s="20"/>
      <c r="P831" s="20"/>
      <c r="Q831" s="21"/>
      <c r="R831" s="22" t="s">
        <v>16</v>
      </c>
      <c r="S831" s="22">
        <v>2</v>
      </c>
      <c r="T831" s="25">
        <v>5136</v>
      </c>
      <c r="U831" s="22">
        <v>0</v>
      </c>
      <c r="V831" s="20" t="str">
        <f t="shared" si="80"/>
        <v>K-550x168x100</v>
      </c>
    </row>
    <row r="832" spans="1:22" ht="14.25" customHeight="1">
      <c r="A832" s="88" t="s">
        <v>183</v>
      </c>
      <c r="B832" s="76" t="s">
        <v>2167</v>
      </c>
      <c r="C832" s="2">
        <v>550</v>
      </c>
      <c r="D832" s="2">
        <v>100</v>
      </c>
      <c r="E832" s="2">
        <v>175</v>
      </c>
      <c r="F832" s="2">
        <v>125</v>
      </c>
      <c r="G832" s="21">
        <v>8.25</v>
      </c>
      <c r="H832" s="20"/>
      <c r="I832" s="20"/>
      <c r="J832" s="20"/>
      <c r="K832" s="89"/>
      <c r="L832" s="767"/>
      <c r="M832" s="20"/>
      <c r="N832" s="20"/>
      <c r="O832" s="20"/>
      <c r="P832" s="20"/>
      <c r="Q832" s="21"/>
      <c r="R832" s="22" t="s">
        <v>16</v>
      </c>
      <c r="S832" s="22">
        <v>2</v>
      </c>
      <c r="T832" s="25">
        <v>3854</v>
      </c>
      <c r="U832" s="22">
        <v>0</v>
      </c>
      <c r="V832" s="20" t="str">
        <f t="shared" si="80"/>
        <v>K-550x175x100</v>
      </c>
    </row>
    <row r="833" spans="1:22" ht="15">
      <c r="A833" s="88" t="s">
        <v>184</v>
      </c>
      <c r="B833" s="76" t="s">
        <v>2167</v>
      </c>
      <c r="C833" s="2">
        <v>550</v>
      </c>
      <c r="D833" s="2">
        <v>100</v>
      </c>
      <c r="E833" s="2">
        <v>180</v>
      </c>
      <c r="F833" s="2">
        <v>120</v>
      </c>
      <c r="G833" s="21">
        <v>8.25</v>
      </c>
      <c r="H833" s="20"/>
      <c r="I833" s="20"/>
      <c r="J833" s="20"/>
      <c r="K833" s="89"/>
      <c r="L833" s="767"/>
      <c r="M833" s="20"/>
      <c r="N833" s="20"/>
      <c r="O833" s="20"/>
      <c r="P833" s="20"/>
      <c r="Q833" s="21"/>
      <c r="R833" s="22" t="s">
        <v>16</v>
      </c>
      <c r="S833" s="22">
        <v>2</v>
      </c>
      <c r="T833" s="25">
        <v>3305</v>
      </c>
      <c r="U833" s="22">
        <v>0</v>
      </c>
      <c r="V833" s="20" t="str">
        <f t="shared" si="80"/>
        <v>K-550x180x100</v>
      </c>
    </row>
    <row r="834" spans="1:22" ht="15">
      <c r="A834" s="88" t="s">
        <v>185</v>
      </c>
      <c r="B834" s="76" t="s">
        <v>2167</v>
      </c>
      <c r="C834" s="2">
        <v>550</v>
      </c>
      <c r="D834" s="2">
        <v>100</v>
      </c>
      <c r="E834" s="2">
        <v>185</v>
      </c>
      <c r="F834" s="2">
        <v>115</v>
      </c>
      <c r="G834" s="21">
        <v>8.25</v>
      </c>
      <c r="H834" s="20"/>
      <c r="I834" s="20"/>
      <c r="J834" s="20"/>
      <c r="K834" s="89"/>
      <c r="L834" s="767"/>
      <c r="M834" s="20"/>
      <c r="N834" s="20"/>
      <c r="O834" s="20"/>
      <c r="P834" s="20"/>
      <c r="Q834" s="21"/>
      <c r="R834" s="22" t="s">
        <v>16</v>
      </c>
      <c r="S834" s="22">
        <v>2</v>
      </c>
      <c r="T834" s="25">
        <v>2913</v>
      </c>
      <c r="U834" s="22">
        <v>0</v>
      </c>
      <c r="V834" s="20" t="str">
        <f t="shared" si="80"/>
        <v>K-550x185x100</v>
      </c>
    </row>
    <row r="835" spans="1:22" ht="14.25" customHeight="1">
      <c r="A835" s="88" t="s">
        <v>186</v>
      </c>
      <c r="B835" s="76" t="s">
        <v>2167</v>
      </c>
      <c r="C835" s="2">
        <v>550</v>
      </c>
      <c r="D835" s="2">
        <v>100</v>
      </c>
      <c r="E835" s="2">
        <v>190</v>
      </c>
      <c r="F835" s="2">
        <v>110</v>
      </c>
      <c r="G835" s="21">
        <v>8.25</v>
      </c>
      <c r="H835" s="20"/>
      <c r="I835" s="20"/>
      <c r="J835" s="20"/>
      <c r="K835" s="89"/>
      <c r="L835" s="767"/>
      <c r="M835" s="20"/>
      <c r="N835" s="20"/>
      <c r="O835" s="20"/>
      <c r="P835" s="20"/>
      <c r="Q835" s="21"/>
      <c r="R835" s="22" t="s">
        <v>16</v>
      </c>
      <c r="S835" s="22">
        <v>2</v>
      </c>
      <c r="T835" s="25">
        <v>2619</v>
      </c>
      <c r="U835" s="22">
        <v>0</v>
      </c>
      <c r="V835" s="20" t="str">
        <f t="shared" si="80"/>
        <v>K-550x190x100</v>
      </c>
    </row>
    <row r="836" spans="1:22" ht="15">
      <c r="A836" s="88" t="s">
        <v>187</v>
      </c>
      <c r="B836" s="76" t="s">
        <v>2167</v>
      </c>
      <c r="C836" s="2">
        <v>550</v>
      </c>
      <c r="D836" s="2">
        <v>100</v>
      </c>
      <c r="E836" s="2">
        <v>195</v>
      </c>
      <c r="F836" s="2">
        <v>105</v>
      </c>
      <c r="G836" s="21">
        <v>8.25</v>
      </c>
      <c r="H836" s="20"/>
      <c r="I836" s="20"/>
      <c r="J836" s="20"/>
      <c r="K836" s="89"/>
      <c r="L836" s="767"/>
      <c r="M836" s="20"/>
      <c r="N836" s="20"/>
      <c r="O836" s="20"/>
      <c r="P836" s="20"/>
      <c r="Q836" s="21"/>
      <c r="R836" s="22" t="s">
        <v>16</v>
      </c>
      <c r="S836" s="22">
        <v>2</v>
      </c>
      <c r="T836" s="25">
        <v>2391</v>
      </c>
      <c r="U836" s="22">
        <v>0</v>
      </c>
      <c r="V836" s="20" t="str">
        <f t="shared" si="80"/>
        <v>K-550x195x100</v>
      </c>
    </row>
    <row r="837" spans="1:22" ht="15">
      <c r="A837" s="88" t="s">
        <v>188</v>
      </c>
      <c r="B837" s="76" t="s">
        <v>2167</v>
      </c>
      <c r="C837" s="2">
        <v>550</v>
      </c>
      <c r="D837" s="2">
        <v>100</v>
      </c>
      <c r="E837" s="2">
        <v>200</v>
      </c>
      <c r="F837" s="2">
        <v>100</v>
      </c>
      <c r="G837" s="21">
        <v>8.25</v>
      </c>
      <c r="H837" s="20"/>
      <c r="I837" s="20"/>
      <c r="J837" s="20"/>
      <c r="K837" s="89"/>
      <c r="L837" s="767"/>
      <c r="M837" s="20"/>
      <c r="N837" s="20"/>
      <c r="O837" s="20"/>
      <c r="P837" s="20"/>
      <c r="Q837" s="21"/>
      <c r="R837" s="22" t="s">
        <v>16</v>
      </c>
      <c r="S837" s="22">
        <v>2</v>
      </c>
      <c r="T837" s="25">
        <v>2209</v>
      </c>
      <c r="U837" s="22">
        <v>0</v>
      </c>
      <c r="V837" s="20" t="str">
        <f t="shared" si="80"/>
        <v>K-550x200x100</v>
      </c>
    </row>
    <row r="838" spans="1:22" ht="14.25" customHeight="1">
      <c r="A838" s="88" t="s">
        <v>189</v>
      </c>
      <c r="B838" s="76" t="s">
        <v>2167</v>
      </c>
      <c r="C838" s="2">
        <v>550</v>
      </c>
      <c r="D838" s="2">
        <v>100</v>
      </c>
      <c r="E838" s="2">
        <v>205</v>
      </c>
      <c r="F838" s="2">
        <v>95</v>
      </c>
      <c r="G838" s="21">
        <v>8.25</v>
      </c>
      <c r="H838" s="20"/>
      <c r="I838" s="20"/>
      <c r="J838" s="20"/>
      <c r="K838" s="89"/>
      <c r="L838" s="767"/>
      <c r="M838" s="20"/>
      <c r="N838" s="20"/>
      <c r="O838" s="20"/>
      <c r="P838" s="20"/>
      <c r="Q838" s="21"/>
      <c r="R838" s="22" t="s">
        <v>16</v>
      </c>
      <c r="S838" s="22">
        <v>2</v>
      </c>
      <c r="T838" s="25">
        <v>2060</v>
      </c>
      <c r="U838" s="22">
        <v>0</v>
      </c>
      <c r="V838" s="20" t="str">
        <f t="shared" si="80"/>
        <v>K-550x205x100</v>
      </c>
    </row>
    <row r="839" spans="1:22" ht="15">
      <c r="A839" s="88" t="s">
        <v>190</v>
      </c>
      <c r="B839" s="76" t="s">
        <v>2167</v>
      </c>
      <c r="C839" s="2">
        <v>550</v>
      </c>
      <c r="D839" s="2">
        <v>100</v>
      </c>
      <c r="E839" s="2">
        <v>210</v>
      </c>
      <c r="F839" s="2">
        <v>90</v>
      </c>
      <c r="G839" s="21">
        <v>8.25</v>
      </c>
      <c r="H839" s="20"/>
      <c r="I839" s="20"/>
      <c r="J839" s="20"/>
      <c r="K839" s="89"/>
      <c r="L839" s="767"/>
      <c r="M839" s="20"/>
      <c r="N839" s="20"/>
      <c r="O839" s="20"/>
      <c r="P839" s="20"/>
      <c r="Q839" s="21"/>
      <c r="R839" s="22" t="s">
        <v>16</v>
      </c>
      <c r="S839" s="22">
        <v>2</v>
      </c>
      <c r="T839" s="25">
        <v>1936</v>
      </c>
      <c r="U839" s="22">
        <v>0</v>
      </c>
      <c r="V839" s="20" t="str">
        <f t="shared" si="80"/>
        <v>K-550x210x100</v>
      </c>
    </row>
    <row r="840" spans="1:22" ht="15">
      <c r="A840" s="88" t="s">
        <v>191</v>
      </c>
      <c r="B840" s="76" t="s">
        <v>2167</v>
      </c>
      <c r="C840" s="2">
        <v>600</v>
      </c>
      <c r="D840" s="2">
        <v>100</v>
      </c>
      <c r="E840" s="2">
        <v>150</v>
      </c>
      <c r="F840" s="2">
        <v>150</v>
      </c>
      <c r="G840" s="21">
        <v>9</v>
      </c>
      <c r="H840" s="20"/>
      <c r="I840" s="20"/>
      <c r="J840" s="20"/>
      <c r="K840" s="89"/>
      <c r="L840" s="767"/>
      <c r="M840" s="20"/>
      <c r="N840" s="20"/>
      <c r="O840" s="20"/>
      <c r="P840" s="20"/>
      <c r="Q840" s="21"/>
      <c r="R840" s="22" t="s">
        <v>16</v>
      </c>
      <c r="S840" s="22">
        <v>2</v>
      </c>
      <c r="T840" s="25" t="s">
        <v>16</v>
      </c>
      <c r="U840" s="22">
        <v>0</v>
      </c>
      <c r="V840" s="20" t="str">
        <f t="shared" si="80"/>
        <v>K-600x150x100</v>
      </c>
    </row>
    <row r="841" spans="1:22" ht="14.25" customHeight="1">
      <c r="A841" s="88" t="s">
        <v>192</v>
      </c>
      <c r="B841" s="76" t="s">
        <v>2167</v>
      </c>
      <c r="C841" s="2">
        <v>600</v>
      </c>
      <c r="D841" s="2">
        <v>100</v>
      </c>
      <c r="E841" s="2">
        <v>154</v>
      </c>
      <c r="F841" s="2">
        <v>146</v>
      </c>
      <c r="G841" s="21">
        <v>9</v>
      </c>
      <c r="H841" s="20"/>
      <c r="I841" s="20"/>
      <c r="J841" s="20"/>
      <c r="K841" s="89"/>
      <c r="L841" s="767"/>
      <c r="M841" s="20"/>
      <c r="N841" s="20"/>
      <c r="O841" s="20"/>
      <c r="P841" s="20"/>
      <c r="Q841" s="21"/>
      <c r="R841" s="22" t="s">
        <v>16</v>
      </c>
      <c r="S841" s="22">
        <v>2</v>
      </c>
      <c r="T841" s="25">
        <v>23101</v>
      </c>
      <c r="U841" s="22">
        <v>0</v>
      </c>
      <c r="V841" s="20" t="str">
        <f t="shared" si="80"/>
        <v>K-600x154x100</v>
      </c>
    </row>
    <row r="842" spans="1:22" ht="15">
      <c r="A842" s="88" t="s">
        <v>193</v>
      </c>
      <c r="B842" s="76" t="s">
        <v>2167</v>
      </c>
      <c r="C842" s="2">
        <v>600</v>
      </c>
      <c r="D842" s="2">
        <v>100</v>
      </c>
      <c r="E842" s="2">
        <v>160</v>
      </c>
      <c r="F842" s="2">
        <v>140</v>
      </c>
      <c r="G842" s="21">
        <v>9</v>
      </c>
      <c r="H842" s="20"/>
      <c r="I842" s="20"/>
      <c r="J842" s="20"/>
      <c r="K842" s="89"/>
      <c r="L842" s="767"/>
      <c r="M842" s="20"/>
      <c r="N842" s="20"/>
      <c r="O842" s="20"/>
      <c r="P842" s="20"/>
      <c r="Q842" s="21"/>
      <c r="R842" s="22" t="s">
        <v>16</v>
      </c>
      <c r="S842" s="22">
        <v>2</v>
      </c>
      <c r="T842" s="25">
        <v>9601</v>
      </c>
      <c r="U842" s="22">
        <v>0</v>
      </c>
      <c r="V842" s="20" t="str">
        <f t="shared" si="80"/>
        <v>K-600x160x100</v>
      </c>
    </row>
    <row r="843" spans="1:22" ht="15">
      <c r="A843" s="88" t="s">
        <v>194</v>
      </c>
      <c r="B843" s="76" t="s">
        <v>2167</v>
      </c>
      <c r="C843" s="2">
        <v>600</v>
      </c>
      <c r="D843" s="2">
        <v>100</v>
      </c>
      <c r="E843" s="2">
        <v>165</v>
      </c>
      <c r="F843" s="2">
        <v>135</v>
      </c>
      <c r="G843" s="21">
        <v>9</v>
      </c>
      <c r="H843" s="20"/>
      <c r="I843" s="20"/>
      <c r="J843" s="20"/>
      <c r="K843" s="89"/>
      <c r="L843" s="767"/>
      <c r="M843" s="20"/>
      <c r="N843" s="20"/>
      <c r="O843" s="20"/>
      <c r="P843" s="20"/>
      <c r="Q843" s="21"/>
      <c r="R843" s="22" t="s">
        <v>16</v>
      </c>
      <c r="S843" s="22">
        <v>2</v>
      </c>
      <c r="T843" s="25">
        <v>6602</v>
      </c>
      <c r="U843" s="22">
        <v>0</v>
      </c>
      <c r="V843" s="20" t="str">
        <f t="shared" si="80"/>
        <v>K-600x165x100</v>
      </c>
    </row>
    <row r="844" spans="1:22" ht="14.25" customHeight="1">
      <c r="A844" s="88" t="s">
        <v>195</v>
      </c>
      <c r="B844" s="76" t="s">
        <v>2167</v>
      </c>
      <c r="C844" s="2">
        <v>600</v>
      </c>
      <c r="D844" s="2">
        <v>100</v>
      </c>
      <c r="E844" s="2">
        <v>168</v>
      </c>
      <c r="F844" s="2">
        <v>132</v>
      </c>
      <c r="G844" s="21">
        <v>9</v>
      </c>
      <c r="H844" s="20"/>
      <c r="I844" s="20"/>
      <c r="J844" s="20"/>
      <c r="K844" s="89"/>
      <c r="L844" s="767"/>
      <c r="M844" s="20"/>
      <c r="N844" s="20"/>
      <c r="O844" s="20"/>
      <c r="P844" s="20"/>
      <c r="Q844" s="21"/>
      <c r="R844" s="22" t="s">
        <v>16</v>
      </c>
      <c r="S844" s="22">
        <v>2</v>
      </c>
      <c r="T844" s="25">
        <v>5603</v>
      </c>
      <c r="U844" s="22">
        <v>0</v>
      </c>
      <c r="V844" s="20" t="str">
        <f t="shared" si="80"/>
        <v>K-600x168x100</v>
      </c>
    </row>
    <row r="845" spans="1:22" ht="15">
      <c r="A845" s="88" t="s">
        <v>196</v>
      </c>
      <c r="B845" s="76" t="s">
        <v>2167</v>
      </c>
      <c r="C845" s="2">
        <v>600</v>
      </c>
      <c r="D845" s="2">
        <v>100</v>
      </c>
      <c r="E845" s="2">
        <v>170</v>
      </c>
      <c r="F845" s="2">
        <v>130</v>
      </c>
      <c r="G845" s="21">
        <v>9</v>
      </c>
      <c r="H845" s="20"/>
      <c r="I845" s="20"/>
      <c r="J845" s="20"/>
      <c r="K845" s="89"/>
      <c r="L845" s="767"/>
      <c r="M845" s="20"/>
      <c r="N845" s="20"/>
      <c r="O845" s="20"/>
      <c r="P845" s="20"/>
      <c r="Q845" s="21"/>
      <c r="R845" s="22" t="s">
        <v>16</v>
      </c>
      <c r="S845" s="22">
        <v>2</v>
      </c>
      <c r="T845" s="25">
        <v>5103</v>
      </c>
      <c r="U845" s="22">
        <v>0</v>
      </c>
      <c r="V845" s="20" t="str">
        <f t="shared" si="80"/>
        <v>K-600x170x100</v>
      </c>
    </row>
    <row r="846" spans="1:22" ht="15">
      <c r="A846" s="88" t="s">
        <v>197</v>
      </c>
      <c r="B846" s="76" t="s">
        <v>2167</v>
      </c>
      <c r="C846" s="2">
        <v>600</v>
      </c>
      <c r="D846" s="2">
        <v>100</v>
      </c>
      <c r="E846" s="2">
        <v>180</v>
      </c>
      <c r="F846" s="2">
        <v>120</v>
      </c>
      <c r="G846" s="21">
        <v>9</v>
      </c>
      <c r="H846" s="20"/>
      <c r="I846" s="20"/>
      <c r="J846" s="20"/>
      <c r="K846" s="89"/>
      <c r="L846" s="767"/>
      <c r="M846" s="20"/>
      <c r="N846" s="20"/>
      <c r="O846" s="20"/>
      <c r="P846" s="20"/>
      <c r="Q846" s="21"/>
      <c r="R846" s="22" t="s">
        <v>16</v>
      </c>
      <c r="S846" s="22">
        <v>2</v>
      </c>
      <c r="T846" s="25">
        <v>3604</v>
      </c>
      <c r="U846" s="22">
        <v>0</v>
      </c>
      <c r="V846" s="20" t="str">
        <f t="shared" si="80"/>
        <v>K-600x180x100</v>
      </c>
    </row>
    <row r="847" spans="1:22" ht="14.25" customHeight="1">
      <c r="A847" s="88" t="s">
        <v>198</v>
      </c>
      <c r="B847" s="76" t="s">
        <v>2167</v>
      </c>
      <c r="C847" s="2">
        <v>600</v>
      </c>
      <c r="D847" s="2">
        <v>100</v>
      </c>
      <c r="E847" s="2">
        <v>190</v>
      </c>
      <c r="F847" s="2">
        <v>110</v>
      </c>
      <c r="G847" s="21">
        <v>9</v>
      </c>
      <c r="H847" s="20"/>
      <c r="I847" s="20"/>
      <c r="J847" s="20"/>
      <c r="K847" s="89"/>
      <c r="L847" s="767"/>
      <c r="M847" s="20"/>
      <c r="N847" s="20"/>
      <c r="O847" s="20"/>
      <c r="P847" s="20"/>
      <c r="Q847" s="21"/>
      <c r="R847" s="22" t="s">
        <v>16</v>
      </c>
      <c r="S847" s="22">
        <v>2</v>
      </c>
      <c r="T847" s="25">
        <v>2856</v>
      </c>
      <c r="U847" s="22">
        <v>0</v>
      </c>
      <c r="V847" s="20" t="str">
        <f t="shared" si="80"/>
        <v>K-600x190x100</v>
      </c>
    </row>
    <row r="848" spans="1:22" ht="15">
      <c r="A848" s="88" t="s">
        <v>199</v>
      </c>
      <c r="B848" s="76" t="s">
        <v>2167</v>
      </c>
      <c r="C848" s="2">
        <v>600</v>
      </c>
      <c r="D848" s="2">
        <v>100</v>
      </c>
      <c r="E848" s="2">
        <v>195</v>
      </c>
      <c r="F848" s="2">
        <v>105</v>
      </c>
      <c r="G848" s="21">
        <v>9</v>
      </c>
      <c r="H848" s="20"/>
      <c r="I848" s="20"/>
      <c r="J848" s="20"/>
      <c r="K848" s="89"/>
      <c r="L848" s="767"/>
      <c r="M848" s="20"/>
      <c r="N848" s="20"/>
      <c r="O848" s="20"/>
      <c r="P848" s="20"/>
      <c r="Q848" s="21"/>
      <c r="R848" s="22" t="s">
        <v>16</v>
      </c>
      <c r="S848" s="22">
        <v>2</v>
      </c>
      <c r="T848" s="25">
        <v>2607</v>
      </c>
      <c r="U848" s="22">
        <v>0</v>
      </c>
      <c r="V848" s="20" t="str">
        <f t="shared" si="80"/>
        <v>K-600x195x100</v>
      </c>
    </row>
    <row r="849" spans="1:22" ht="15">
      <c r="A849" s="88" t="s">
        <v>200</v>
      </c>
      <c r="B849" s="76" t="s">
        <v>2167</v>
      </c>
      <c r="C849" s="2">
        <v>600</v>
      </c>
      <c r="D849" s="2">
        <v>100</v>
      </c>
      <c r="E849" s="2">
        <v>210</v>
      </c>
      <c r="F849" s="2">
        <v>90</v>
      </c>
      <c r="G849" s="21">
        <v>9</v>
      </c>
      <c r="H849" s="20"/>
      <c r="I849" s="20"/>
      <c r="J849" s="20"/>
      <c r="K849" s="89"/>
      <c r="L849" s="767"/>
      <c r="M849" s="20"/>
      <c r="N849" s="20"/>
      <c r="O849" s="20"/>
      <c r="P849" s="20"/>
      <c r="Q849" s="21"/>
      <c r="R849" s="22" t="s">
        <v>16</v>
      </c>
      <c r="S849" s="22">
        <v>2</v>
      </c>
      <c r="T849" s="25">
        <v>2110</v>
      </c>
      <c r="U849" s="22">
        <v>0</v>
      </c>
      <c r="V849" s="20" t="str">
        <f t="shared" si="80"/>
        <v>K-600x210x100</v>
      </c>
    </row>
    <row r="850" spans="1:22" ht="14.25" customHeight="1">
      <c r="A850" s="88" t="s">
        <v>201</v>
      </c>
      <c r="B850" s="76" t="s">
        <v>2167</v>
      </c>
      <c r="C850" s="2">
        <v>650</v>
      </c>
      <c r="D850" s="2">
        <v>100</v>
      </c>
      <c r="E850" s="2">
        <v>150</v>
      </c>
      <c r="F850" s="2">
        <v>150</v>
      </c>
      <c r="G850" s="21">
        <v>9.75</v>
      </c>
      <c r="H850" s="20"/>
      <c r="I850" s="20"/>
      <c r="J850" s="20"/>
      <c r="K850" s="89"/>
      <c r="L850" s="767"/>
      <c r="M850" s="20"/>
      <c r="N850" s="20"/>
      <c r="O850" s="20"/>
      <c r="P850" s="20"/>
      <c r="Q850" s="21"/>
      <c r="R850" s="22" t="s">
        <v>16</v>
      </c>
      <c r="S850" s="22">
        <v>2</v>
      </c>
      <c r="T850" s="25" t="s">
        <v>16</v>
      </c>
      <c r="U850" s="22">
        <v>0</v>
      </c>
      <c r="V850" s="20" t="str">
        <f t="shared" ref="V850:V881" si="81">B850&amp;"-"&amp;C850&amp;"x"&amp;E850&amp;"x"&amp;D850</f>
        <v>K-650x150x100</v>
      </c>
    </row>
    <row r="851" spans="1:22" ht="15">
      <c r="A851" s="88" t="s">
        <v>202</v>
      </c>
      <c r="B851" s="76" t="s">
        <v>2167</v>
      </c>
      <c r="C851" s="2">
        <v>650</v>
      </c>
      <c r="D851" s="2">
        <v>100</v>
      </c>
      <c r="E851" s="2">
        <v>154</v>
      </c>
      <c r="F851" s="2">
        <v>146</v>
      </c>
      <c r="G851" s="21">
        <v>9.75</v>
      </c>
      <c r="H851" s="20"/>
      <c r="I851" s="20"/>
      <c r="J851" s="20"/>
      <c r="K851" s="89"/>
      <c r="L851" s="767"/>
      <c r="M851" s="20"/>
      <c r="N851" s="20"/>
      <c r="O851" s="20"/>
      <c r="P851" s="20"/>
      <c r="Q851" s="21"/>
      <c r="R851" s="22" t="s">
        <v>16</v>
      </c>
      <c r="S851" s="22">
        <v>2</v>
      </c>
      <c r="T851" s="25">
        <v>25025</v>
      </c>
      <c r="U851" s="22">
        <v>0</v>
      </c>
      <c r="V851" s="20" t="str">
        <f t="shared" si="81"/>
        <v>K-650x154x100</v>
      </c>
    </row>
    <row r="852" spans="1:22" ht="15">
      <c r="A852" s="88" t="s">
        <v>203</v>
      </c>
      <c r="B852" s="76" t="s">
        <v>2167</v>
      </c>
      <c r="C852" s="2">
        <v>650</v>
      </c>
      <c r="D852" s="2">
        <v>100</v>
      </c>
      <c r="E852" s="2">
        <v>160</v>
      </c>
      <c r="F852" s="2">
        <v>140</v>
      </c>
      <c r="G852" s="21">
        <v>9.75</v>
      </c>
      <c r="H852" s="20"/>
      <c r="I852" s="20"/>
      <c r="J852" s="20"/>
      <c r="K852" s="89"/>
      <c r="L852" s="767"/>
      <c r="M852" s="20"/>
      <c r="N852" s="20"/>
      <c r="O852" s="20"/>
      <c r="P852" s="20"/>
      <c r="Q852" s="21"/>
      <c r="R852" s="22" t="s">
        <v>16</v>
      </c>
      <c r="S852" s="22">
        <v>2</v>
      </c>
      <c r="T852" s="25">
        <v>10401</v>
      </c>
      <c r="U852" s="22">
        <v>0</v>
      </c>
      <c r="V852" s="20" t="str">
        <f t="shared" si="81"/>
        <v>K-650x160x100</v>
      </c>
    </row>
    <row r="853" spans="1:22" ht="14.25" customHeight="1">
      <c r="A853" s="88" t="s">
        <v>204</v>
      </c>
      <c r="B853" s="76" t="s">
        <v>2167</v>
      </c>
      <c r="C853" s="2">
        <v>650</v>
      </c>
      <c r="D853" s="2">
        <v>100</v>
      </c>
      <c r="E853" s="2">
        <v>168</v>
      </c>
      <c r="F853" s="2">
        <v>132</v>
      </c>
      <c r="G853" s="21">
        <v>9.75</v>
      </c>
      <c r="H853" s="20"/>
      <c r="I853" s="20"/>
      <c r="J853" s="20"/>
      <c r="K853" s="89"/>
      <c r="L853" s="767"/>
      <c r="M853" s="20"/>
      <c r="N853" s="20"/>
      <c r="O853" s="20"/>
      <c r="P853" s="20"/>
      <c r="Q853" s="21"/>
      <c r="R853" s="22" t="s">
        <v>16</v>
      </c>
      <c r="S853" s="22">
        <v>2</v>
      </c>
      <c r="T853" s="25">
        <v>6069</v>
      </c>
      <c r="U853" s="22">
        <v>0</v>
      </c>
      <c r="V853" s="20" t="str">
        <f t="shared" si="81"/>
        <v>K-650x168x100</v>
      </c>
    </row>
    <row r="854" spans="1:22" ht="15">
      <c r="A854" s="88" t="s">
        <v>205</v>
      </c>
      <c r="B854" s="76" t="s">
        <v>2167</v>
      </c>
      <c r="C854" s="2">
        <v>650</v>
      </c>
      <c r="D854" s="2">
        <v>100</v>
      </c>
      <c r="E854" s="2">
        <v>180</v>
      </c>
      <c r="F854" s="2">
        <v>120</v>
      </c>
      <c r="G854" s="21">
        <v>9.75</v>
      </c>
      <c r="H854" s="20"/>
      <c r="I854" s="20"/>
      <c r="J854" s="20"/>
      <c r="K854" s="89"/>
      <c r="L854" s="767"/>
      <c r="M854" s="20"/>
      <c r="N854" s="20"/>
      <c r="O854" s="20"/>
      <c r="P854" s="20"/>
      <c r="Q854" s="21"/>
      <c r="R854" s="22" t="s">
        <v>16</v>
      </c>
      <c r="S854" s="22">
        <v>2</v>
      </c>
      <c r="T854" s="25">
        <v>3904</v>
      </c>
      <c r="U854" s="22">
        <v>0</v>
      </c>
      <c r="V854" s="20" t="str">
        <f t="shared" si="81"/>
        <v>K-650x180x100</v>
      </c>
    </row>
    <row r="855" spans="1:22" ht="15">
      <c r="A855" s="88" t="s">
        <v>206</v>
      </c>
      <c r="B855" s="76" t="s">
        <v>2167</v>
      </c>
      <c r="C855" s="2">
        <v>650</v>
      </c>
      <c r="D855" s="2">
        <v>100</v>
      </c>
      <c r="E855" s="2">
        <v>190</v>
      </c>
      <c r="F855" s="2">
        <v>110</v>
      </c>
      <c r="G855" s="21">
        <v>9.75</v>
      </c>
      <c r="H855" s="20"/>
      <c r="I855" s="20"/>
      <c r="J855" s="20"/>
      <c r="K855" s="89"/>
      <c r="L855" s="767"/>
      <c r="M855" s="20"/>
      <c r="N855" s="20"/>
      <c r="O855" s="20"/>
      <c r="P855" s="20"/>
      <c r="Q855" s="21"/>
      <c r="R855" s="22" t="s">
        <v>16</v>
      </c>
      <c r="S855" s="22">
        <v>2</v>
      </c>
      <c r="T855" s="25">
        <v>3093</v>
      </c>
      <c r="U855" s="22">
        <v>0</v>
      </c>
      <c r="V855" s="20" t="str">
        <f t="shared" si="81"/>
        <v>K-650x190x100</v>
      </c>
    </row>
    <row r="856" spans="1:22" ht="14.25" customHeight="1">
      <c r="A856" s="88" t="s">
        <v>207</v>
      </c>
      <c r="B856" s="76" t="s">
        <v>2167</v>
      </c>
      <c r="C856" s="2">
        <v>650</v>
      </c>
      <c r="D856" s="2">
        <v>100</v>
      </c>
      <c r="E856" s="2">
        <v>195</v>
      </c>
      <c r="F856" s="2">
        <v>105</v>
      </c>
      <c r="G856" s="21">
        <v>9.75</v>
      </c>
      <c r="H856" s="20"/>
      <c r="I856" s="20"/>
      <c r="J856" s="20"/>
      <c r="K856" s="89"/>
      <c r="L856" s="767"/>
      <c r="M856" s="20"/>
      <c r="N856" s="20"/>
      <c r="O856" s="20"/>
      <c r="P856" s="20"/>
      <c r="Q856" s="21"/>
      <c r="R856" s="22" t="s">
        <v>16</v>
      </c>
      <c r="S856" s="22">
        <v>2</v>
      </c>
      <c r="T856" s="25">
        <v>2823</v>
      </c>
      <c r="U856" s="22">
        <v>0</v>
      </c>
      <c r="V856" s="20" t="str">
        <f t="shared" si="81"/>
        <v>K-650x195x100</v>
      </c>
    </row>
    <row r="857" spans="1:22" ht="15">
      <c r="A857" s="88" t="s">
        <v>208</v>
      </c>
      <c r="B857" s="76" t="s">
        <v>2167</v>
      </c>
      <c r="C857" s="2">
        <v>650</v>
      </c>
      <c r="D857" s="2">
        <v>100</v>
      </c>
      <c r="E857" s="2">
        <v>210</v>
      </c>
      <c r="F857" s="2">
        <v>90</v>
      </c>
      <c r="G857" s="21">
        <v>9.75</v>
      </c>
      <c r="H857" s="20"/>
      <c r="I857" s="20"/>
      <c r="J857" s="20"/>
      <c r="K857" s="89"/>
      <c r="L857" s="767"/>
      <c r="M857" s="20"/>
      <c r="N857" s="20"/>
      <c r="O857" s="20"/>
      <c r="P857" s="20"/>
      <c r="Q857" s="21"/>
      <c r="R857" s="22" t="s">
        <v>16</v>
      </c>
      <c r="S857" s="22">
        <v>2</v>
      </c>
      <c r="T857" s="25">
        <v>2285</v>
      </c>
      <c r="U857" s="22">
        <v>0</v>
      </c>
      <c r="V857" s="20" t="str">
        <f t="shared" si="81"/>
        <v>K-650x210x100</v>
      </c>
    </row>
    <row r="858" spans="1:22" ht="15">
      <c r="A858" s="88" t="s">
        <v>209</v>
      </c>
      <c r="B858" s="76" t="s">
        <v>2167</v>
      </c>
      <c r="C858" s="2">
        <v>700</v>
      </c>
      <c r="D858" s="2">
        <v>100</v>
      </c>
      <c r="E858" s="2">
        <v>150</v>
      </c>
      <c r="F858" s="2">
        <v>150</v>
      </c>
      <c r="G858" s="21">
        <v>10.5</v>
      </c>
      <c r="H858" s="20"/>
      <c r="I858" s="20"/>
      <c r="J858" s="20"/>
      <c r="K858" s="89"/>
      <c r="L858" s="767"/>
      <c r="M858" s="20"/>
      <c r="N858" s="20"/>
      <c r="O858" s="20"/>
      <c r="P858" s="20"/>
      <c r="Q858" s="21"/>
      <c r="R858" s="22" t="s">
        <v>16</v>
      </c>
      <c r="S858" s="22">
        <v>2</v>
      </c>
      <c r="T858" s="25" t="s">
        <v>16</v>
      </c>
      <c r="U858" s="22">
        <v>0</v>
      </c>
      <c r="V858" s="20" t="str">
        <f t="shared" si="81"/>
        <v>K-700x150x100</v>
      </c>
    </row>
    <row r="859" spans="1:22" ht="14.25" customHeight="1">
      <c r="A859" s="88" t="s">
        <v>210</v>
      </c>
      <c r="B859" s="76" t="s">
        <v>2167</v>
      </c>
      <c r="C859" s="2">
        <v>700</v>
      </c>
      <c r="D859" s="2">
        <v>100</v>
      </c>
      <c r="E859" s="2">
        <v>154</v>
      </c>
      <c r="F859" s="2">
        <v>146</v>
      </c>
      <c r="G859" s="21">
        <v>10.5</v>
      </c>
      <c r="H859" s="20"/>
      <c r="I859" s="20"/>
      <c r="J859" s="20"/>
      <c r="K859" s="89"/>
      <c r="L859" s="767"/>
      <c r="M859" s="20"/>
      <c r="N859" s="20"/>
      <c r="O859" s="20"/>
      <c r="P859" s="20"/>
      <c r="Q859" s="21"/>
      <c r="R859" s="22" t="s">
        <v>16</v>
      </c>
      <c r="S859" s="22">
        <v>2</v>
      </c>
      <c r="T859" s="25">
        <v>26950</v>
      </c>
      <c r="U859" s="22">
        <v>0</v>
      </c>
      <c r="V859" s="20" t="str">
        <f t="shared" si="81"/>
        <v>K-700x154x100</v>
      </c>
    </row>
    <row r="860" spans="1:22" ht="15">
      <c r="A860" s="88" t="s">
        <v>211</v>
      </c>
      <c r="B860" s="76" t="s">
        <v>2167</v>
      </c>
      <c r="C860" s="2">
        <v>700</v>
      </c>
      <c r="D860" s="2">
        <v>100</v>
      </c>
      <c r="E860" s="2">
        <v>160</v>
      </c>
      <c r="F860" s="2">
        <v>140</v>
      </c>
      <c r="G860" s="21">
        <v>10.5</v>
      </c>
      <c r="H860" s="20"/>
      <c r="I860" s="20"/>
      <c r="J860" s="20"/>
      <c r="K860" s="89"/>
      <c r="L860" s="767"/>
      <c r="M860" s="20"/>
      <c r="N860" s="20"/>
      <c r="O860" s="20"/>
      <c r="P860" s="20"/>
      <c r="Q860" s="21"/>
      <c r="R860" s="22" t="s">
        <v>16</v>
      </c>
      <c r="S860" s="22">
        <v>2</v>
      </c>
      <c r="T860" s="25">
        <v>11201</v>
      </c>
      <c r="U860" s="22">
        <v>0</v>
      </c>
      <c r="V860" s="20" t="str">
        <f t="shared" si="81"/>
        <v>K-700x160x100</v>
      </c>
    </row>
    <row r="861" spans="1:22" ht="15">
      <c r="A861" s="88" t="s">
        <v>212</v>
      </c>
      <c r="B861" s="76" t="s">
        <v>2167</v>
      </c>
      <c r="C861" s="2">
        <v>700</v>
      </c>
      <c r="D861" s="2">
        <v>100</v>
      </c>
      <c r="E861" s="2">
        <v>168</v>
      </c>
      <c r="F861" s="2">
        <v>132</v>
      </c>
      <c r="G861" s="21">
        <v>10.5</v>
      </c>
      <c r="H861" s="20"/>
      <c r="I861" s="20"/>
      <c r="J861" s="20"/>
      <c r="K861" s="89"/>
      <c r="L861" s="767"/>
      <c r="M861" s="20"/>
      <c r="N861" s="20"/>
      <c r="O861" s="20"/>
      <c r="P861" s="20"/>
      <c r="Q861" s="21"/>
      <c r="R861" s="22" t="s">
        <v>16</v>
      </c>
      <c r="S861" s="22">
        <v>2</v>
      </c>
      <c r="T861" s="25">
        <v>6535</v>
      </c>
      <c r="U861" s="22">
        <v>0</v>
      </c>
      <c r="V861" s="20" t="str">
        <f t="shared" si="81"/>
        <v>K-700x168x100</v>
      </c>
    </row>
    <row r="862" spans="1:22" ht="14.25" customHeight="1">
      <c r="A862" s="88" t="s">
        <v>213</v>
      </c>
      <c r="B862" s="76" t="s">
        <v>2167</v>
      </c>
      <c r="C862" s="2">
        <v>700</v>
      </c>
      <c r="D862" s="2">
        <v>100</v>
      </c>
      <c r="E862" s="2">
        <v>180</v>
      </c>
      <c r="F862" s="2">
        <v>120</v>
      </c>
      <c r="G862" s="21">
        <v>10.5</v>
      </c>
      <c r="H862" s="20"/>
      <c r="I862" s="20"/>
      <c r="J862" s="20"/>
      <c r="K862" s="89"/>
      <c r="L862" s="767"/>
      <c r="M862" s="20"/>
      <c r="N862" s="20"/>
      <c r="O862" s="20"/>
      <c r="P862" s="20"/>
      <c r="Q862" s="21"/>
      <c r="R862" s="22" t="s">
        <v>16</v>
      </c>
      <c r="S862" s="22">
        <v>2</v>
      </c>
      <c r="T862" s="25">
        <v>4204</v>
      </c>
      <c r="U862" s="22">
        <v>0</v>
      </c>
      <c r="V862" s="20" t="str">
        <f t="shared" si="81"/>
        <v>K-700x180x100</v>
      </c>
    </row>
    <row r="863" spans="1:22" ht="15">
      <c r="A863" s="88" t="s">
        <v>214</v>
      </c>
      <c r="B863" s="76" t="s">
        <v>2167</v>
      </c>
      <c r="C863" s="2">
        <v>700</v>
      </c>
      <c r="D863" s="2">
        <v>100</v>
      </c>
      <c r="E863" s="2">
        <v>190</v>
      </c>
      <c r="F863" s="2">
        <v>110</v>
      </c>
      <c r="G863" s="21">
        <v>10.5</v>
      </c>
      <c r="H863" s="20"/>
      <c r="I863" s="20"/>
      <c r="J863" s="20"/>
      <c r="K863" s="89"/>
      <c r="L863" s="767"/>
      <c r="M863" s="20"/>
      <c r="N863" s="20"/>
      <c r="O863" s="20"/>
      <c r="P863" s="20"/>
      <c r="Q863" s="21"/>
      <c r="R863" s="22" t="s">
        <v>16</v>
      </c>
      <c r="S863" s="22">
        <v>2</v>
      </c>
      <c r="T863" s="25">
        <v>3330</v>
      </c>
      <c r="U863" s="22">
        <v>0</v>
      </c>
      <c r="V863" s="20" t="str">
        <f t="shared" si="81"/>
        <v>K-700x190x100</v>
      </c>
    </row>
    <row r="864" spans="1:22" ht="15">
      <c r="A864" s="88" t="s">
        <v>215</v>
      </c>
      <c r="B864" s="76" t="s">
        <v>2167</v>
      </c>
      <c r="C864" s="2">
        <v>700</v>
      </c>
      <c r="D864" s="2">
        <v>100</v>
      </c>
      <c r="E864" s="2">
        <v>210</v>
      </c>
      <c r="F864" s="2">
        <v>90</v>
      </c>
      <c r="G864" s="21">
        <v>10.5</v>
      </c>
      <c r="H864" s="20"/>
      <c r="I864" s="20"/>
      <c r="J864" s="20"/>
      <c r="K864" s="89"/>
      <c r="L864" s="767"/>
      <c r="M864" s="20"/>
      <c r="N864" s="20"/>
      <c r="O864" s="20"/>
      <c r="P864" s="20"/>
      <c r="Q864" s="21"/>
      <c r="R864" s="22" t="s">
        <v>16</v>
      </c>
      <c r="S864" s="22">
        <v>2</v>
      </c>
      <c r="T864" s="25">
        <v>2459</v>
      </c>
      <c r="U864" s="22">
        <v>0</v>
      </c>
      <c r="V864" s="20" t="str">
        <f t="shared" si="81"/>
        <v>K-700x210x100</v>
      </c>
    </row>
    <row r="865" spans="1:22" ht="14.25" customHeight="1">
      <c r="A865" s="88" t="s">
        <v>216</v>
      </c>
      <c r="B865" s="76" t="s">
        <v>2167</v>
      </c>
      <c r="C865" s="2">
        <v>750</v>
      </c>
      <c r="D865" s="2">
        <v>100</v>
      </c>
      <c r="E865" s="2">
        <v>150</v>
      </c>
      <c r="F865" s="2">
        <v>150</v>
      </c>
      <c r="G865" s="21">
        <v>11.25</v>
      </c>
      <c r="H865" s="20"/>
      <c r="I865" s="20"/>
      <c r="J865" s="20"/>
      <c r="K865" s="89"/>
      <c r="L865" s="767"/>
      <c r="M865" s="20"/>
      <c r="N865" s="20"/>
      <c r="O865" s="20"/>
      <c r="P865" s="20"/>
      <c r="Q865" s="21"/>
      <c r="R865" s="22" t="s">
        <v>16</v>
      </c>
      <c r="S865" s="22">
        <v>2</v>
      </c>
      <c r="T865" s="25" t="s">
        <v>16</v>
      </c>
      <c r="U865" s="22">
        <v>0</v>
      </c>
      <c r="V865" s="20" t="str">
        <f t="shared" si="81"/>
        <v>K-750x150x100</v>
      </c>
    </row>
    <row r="866" spans="1:22" ht="15">
      <c r="A866" s="88" t="s">
        <v>217</v>
      </c>
      <c r="B866" s="76" t="s">
        <v>2167</v>
      </c>
      <c r="C866" s="2">
        <v>750</v>
      </c>
      <c r="D866" s="2">
        <v>100</v>
      </c>
      <c r="E866" s="2">
        <v>154</v>
      </c>
      <c r="F866" s="2">
        <v>146</v>
      </c>
      <c r="G866" s="21">
        <v>11.25</v>
      </c>
      <c r="H866" s="20"/>
      <c r="I866" s="20"/>
      <c r="J866" s="20"/>
      <c r="K866" s="89"/>
      <c r="L866" s="767"/>
      <c r="M866" s="20"/>
      <c r="N866" s="20"/>
      <c r="O866" s="20"/>
      <c r="P866" s="20"/>
      <c r="Q866" s="21"/>
      <c r="R866" s="22" t="s">
        <v>16</v>
      </c>
      <c r="S866" s="22">
        <v>2</v>
      </c>
      <c r="T866" s="25">
        <v>28875</v>
      </c>
      <c r="U866" s="22">
        <v>0</v>
      </c>
      <c r="V866" s="20" t="str">
        <f t="shared" si="81"/>
        <v>K-750x154x100</v>
      </c>
    </row>
    <row r="867" spans="1:22" ht="15">
      <c r="A867" s="88" t="s">
        <v>218</v>
      </c>
      <c r="B867" s="76" t="s">
        <v>2167</v>
      </c>
      <c r="C867" s="2">
        <v>750</v>
      </c>
      <c r="D867" s="2">
        <v>100</v>
      </c>
      <c r="E867" s="2">
        <v>160</v>
      </c>
      <c r="F867" s="2">
        <v>140</v>
      </c>
      <c r="G867" s="21">
        <v>11.25</v>
      </c>
      <c r="H867" s="20"/>
      <c r="I867" s="20"/>
      <c r="J867" s="20"/>
      <c r="K867" s="89"/>
      <c r="L867" s="767"/>
      <c r="M867" s="20"/>
      <c r="N867" s="20"/>
      <c r="O867" s="20"/>
      <c r="P867" s="20"/>
      <c r="Q867" s="21"/>
      <c r="R867" s="22" t="s">
        <v>16</v>
      </c>
      <c r="S867" s="22">
        <v>2</v>
      </c>
      <c r="T867" s="25">
        <v>12001</v>
      </c>
      <c r="U867" s="22">
        <v>0</v>
      </c>
      <c r="V867" s="20" t="str">
        <f t="shared" si="81"/>
        <v>K-750x160x100</v>
      </c>
    </row>
    <row r="868" spans="1:22" ht="14.25" customHeight="1">
      <c r="A868" s="88" t="s">
        <v>219</v>
      </c>
      <c r="B868" s="76" t="s">
        <v>2167</v>
      </c>
      <c r="C868" s="2">
        <v>750</v>
      </c>
      <c r="D868" s="2">
        <v>100</v>
      </c>
      <c r="E868" s="2">
        <v>168</v>
      </c>
      <c r="F868" s="2">
        <v>132</v>
      </c>
      <c r="G868" s="21">
        <v>11.25</v>
      </c>
      <c r="H868" s="20"/>
      <c r="I868" s="20"/>
      <c r="J868" s="20"/>
      <c r="K868" s="89"/>
      <c r="L868" s="767"/>
      <c r="M868" s="20"/>
      <c r="N868" s="20"/>
      <c r="O868" s="20"/>
      <c r="P868" s="20"/>
      <c r="Q868" s="21"/>
      <c r="R868" s="22" t="s">
        <v>16</v>
      </c>
      <c r="S868" s="22">
        <v>2</v>
      </c>
      <c r="T868" s="25">
        <v>7002</v>
      </c>
      <c r="U868" s="22">
        <v>0</v>
      </c>
      <c r="V868" s="20" t="str">
        <f t="shared" si="81"/>
        <v>K-750x168x100</v>
      </c>
    </row>
    <row r="869" spans="1:22" ht="15">
      <c r="A869" s="88" t="s">
        <v>220</v>
      </c>
      <c r="B869" s="76" t="s">
        <v>2167</v>
      </c>
      <c r="C869" s="2">
        <v>750</v>
      </c>
      <c r="D869" s="2">
        <v>100</v>
      </c>
      <c r="E869" s="2">
        <v>180</v>
      </c>
      <c r="F869" s="2">
        <v>120</v>
      </c>
      <c r="G869" s="21">
        <v>11.25</v>
      </c>
      <c r="H869" s="20"/>
      <c r="I869" s="20"/>
      <c r="J869" s="20"/>
      <c r="K869" s="89"/>
      <c r="L869" s="767"/>
      <c r="M869" s="20"/>
      <c r="N869" s="20"/>
      <c r="O869" s="20"/>
      <c r="P869" s="20"/>
      <c r="Q869" s="21"/>
      <c r="R869" s="22" t="s">
        <v>16</v>
      </c>
      <c r="S869" s="22">
        <v>2</v>
      </c>
      <c r="T869" s="25">
        <v>4504</v>
      </c>
      <c r="U869" s="22">
        <v>0</v>
      </c>
      <c r="V869" s="20" t="str">
        <f t="shared" si="81"/>
        <v>K-750x180x100</v>
      </c>
    </row>
    <row r="870" spans="1:22" ht="15">
      <c r="A870" s="88" t="s">
        <v>221</v>
      </c>
      <c r="B870" s="76" t="s">
        <v>2167</v>
      </c>
      <c r="C870" s="2">
        <v>750</v>
      </c>
      <c r="D870" s="2">
        <v>100</v>
      </c>
      <c r="E870" s="2">
        <v>190</v>
      </c>
      <c r="F870" s="2">
        <v>110</v>
      </c>
      <c r="G870" s="21">
        <v>11.25</v>
      </c>
      <c r="H870" s="20"/>
      <c r="I870" s="20"/>
      <c r="J870" s="20"/>
      <c r="K870" s="89"/>
      <c r="L870" s="767"/>
      <c r="M870" s="20"/>
      <c r="N870" s="20"/>
      <c r="O870" s="20"/>
      <c r="P870" s="20"/>
      <c r="Q870" s="21"/>
      <c r="R870" s="22" t="s">
        <v>16</v>
      </c>
      <c r="S870" s="22">
        <v>2</v>
      </c>
      <c r="T870" s="25">
        <v>3568</v>
      </c>
      <c r="U870" s="22">
        <v>0</v>
      </c>
      <c r="V870" s="20" t="str">
        <f t="shared" si="81"/>
        <v>K-750x190x100</v>
      </c>
    </row>
    <row r="871" spans="1:22" ht="14.25" customHeight="1">
      <c r="A871" s="88" t="s">
        <v>222</v>
      </c>
      <c r="B871" s="76" t="s">
        <v>2167</v>
      </c>
      <c r="C871" s="2">
        <v>750</v>
      </c>
      <c r="D871" s="2">
        <v>100</v>
      </c>
      <c r="E871" s="2">
        <v>210</v>
      </c>
      <c r="F871" s="2">
        <v>90</v>
      </c>
      <c r="G871" s="21">
        <v>11.25</v>
      </c>
      <c r="H871" s="20"/>
      <c r="I871" s="20"/>
      <c r="J871" s="20"/>
      <c r="K871" s="89"/>
      <c r="L871" s="767"/>
      <c r="M871" s="20"/>
      <c r="N871" s="20"/>
      <c r="O871" s="20"/>
      <c r="P871" s="20"/>
      <c r="Q871" s="21"/>
      <c r="R871" s="22" t="s">
        <v>16</v>
      </c>
      <c r="S871" s="22">
        <v>2</v>
      </c>
      <c r="T871" s="25">
        <v>2633</v>
      </c>
      <c r="U871" s="22">
        <v>0</v>
      </c>
      <c r="V871" s="20" t="str">
        <f t="shared" si="81"/>
        <v>K-750x210x100</v>
      </c>
    </row>
    <row r="872" spans="1:22" ht="15">
      <c r="A872" s="88" t="s">
        <v>223</v>
      </c>
      <c r="B872" s="76" t="s">
        <v>2167</v>
      </c>
      <c r="C872" s="2">
        <v>800</v>
      </c>
      <c r="D872" s="2">
        <v>100</v>
      </c>
      <c r="E872" s="2">
        <v>150</v>
      </c>
      <c r="F872" s="2">
        <v>150</v>
      </c>
      <c r="G872" s="21">
        <v>12</v>
      </c>
      <c r="H872" s="20"/>
      <c r="I872" s="20"/>
      <c r="J872" s="20"/>
      <c r="K872" s="89"/>
      <c r="L872" s="767"/>
      <c r="M872" s="20"/>
      <c r="N872" s="20"/>
      <c r="O872" s="20"/>
      <c r="P872" s="20"/>
      <c r="Q872" s="21"/>
      <c r="R872" s="22" t="s">
        <v>16</v>
      </c>
      <c r="S872" s="22">
        <v>2</v>
      </c>
      <c r="T872" s="25" t="s">
        <v>16</v>
      </c>
      <c r="U872" s="22">
        <v>0</v>
      </c>
      <c r="V872" s="20" t="str">
        <f t="shared" si="81"/>
        <v>K-800x150x100</v>
      </c>
    </row>
    <row r="873" spans="1:22" ht="15">
      <c r="A873" s="88" t="s">
        <v>224</v>
      </c>
      <c r="B873" s="76" t="s">
        <v>2167</v>
      </c>
      <c r="C873" s="2">
        <v>800</v>
      </c>
      <c r="D873" s="2">
        <v>100</v>
      </c>
      <c r="E873" s="2">
        <v>154</v>
      </c>
      <c r="F873" s="2">
        <v>146</v>
      </c>
      <c r="G873" s="21">
        <v>12</v>
      </c>
      <c r="H873" s="20"/>
      <c r="I873" s="20"/>
      <c r="J873" s="20"/>
      <c r="K873" s="89"/>
      <c r="L873" s="767"/>
      <c r="M873" s="20"/>
      <c r="N873" s="20"/>
      <c r="O873" s="20"/>
      <c r="P873" s="20"/>
      <c r="Q873" s="21"/>
      <c r="R873" s="22" t="s">
        <v>16</v>
      </c>
      <c r="S873" s="22">
        <v>2</v>
      </c>
      <c r="T873" s="25">
        <v>30800</v>
      </c>
      <c r="U873" s="22">
        <v>0</v>
      </c>
      <c r="V873" s="20" t="str">
        <f t="shared" si="81"/>
        <v>K-800x154x100</v>
      </c>
    </row>
    <row r="874" spans="1:22" ht="14.25" customHeight="1">
      <c r="A874" s="88" t="s">
        <v>225</v>
      </c>
      <c r="B874" s="76" t="s">
        <v>2167</v>
      </c>
      <c r="C874" s="2">
        <v>800</v>
      </c>
      <c r="D874" s="2">
        <v>100</v>
      </c>
      <c r="E874" s="2">
        <v>160</v>
      </c>
      <c r="F874" s="2">
        <v>140</v>
      </c>
      <c r="G874" s="21">
        <v>12</v>
      </c>
      <c r="H874" s="20"/>
      <c r="I874" s="20"/>
      <c r="J874" s="20"/>
      <c r="K874" s="89"/>
      <c r="L874" s="767"/>
      <c r="M874" s="20"/>
      <c r="N874" s="20"/>
      <c r="O874" s="20"/>
      <c r="P874" s="20"/>
      <c r="Q874" s="21"/>
      <c r="R874" s="22" t="s">
        <v>16</v>
      </c>
      <c r="S874" s="22">
        <v>2</v>
      </c>
      <c r="T874" s="25">
        <v>12801</v>
      </c>
      <c r="U874" s="22">
        <v>0</v>
      </c>
      <c r="V874" s="20" t="str">
        <f t="shared" si="81"/>
        <v>K-800x160x100</v>
      </c>
    </row>
    <row r="875" spans="1:22" ht="15">
      <c r="A875" s="88" t="s">
        <v>226</v>
      </c>
      <c r="B875" s="76" t="s">
        <v>2167</v>
      </c>
      <c r="C875" s="2">
        <v>800</v>
      </c>
      <c r="D875" s="2">
        <v>100</v>
      </c>
      <c r="E875" s="2">
        <v>168</v>
      </c>
      <c r="F875" s="2">
        <v>132</v>
      </c>
      <c r="G875" s="21">
        <v>12</v>
      </c>
      <c r="H875" s="20"/>
      <c r="I875" s="20"/>
      <c r="J875" s="20"/>
      <c r="K875" s="89"/>
      <c r="L875" s="767"/>
      <c r="M875" s="20"/>
      <c r="N875" s="20"/>
      <c r="O875" s="20"/>
      <c r="P875" s="20"/>
      <c r="Q875" s="21"/>
      <c r="R875" s="22" t="s">
        <v>16</v>
      </c>
      <c r="S875" s="22">
        <v>2</v>
      </c>
      <c r="T875" s="25">
        <v>7469</v>
      </c>
      <c r="U875" s="22">
        <v>0</v>
      </c>
      <c r="V875" s="20" t="str">
        <f t="shared" si="81"/>
        <v>K-800x168x100</v>
      </c>
    </row>
    <row r="876" spans="1:22" ht="15">
      <c r="A876" s="88" t="s">
        <v>227</v>
      </c>
      <c r="B876" s="76" t="s">
        <v>2167</v>
      </c>
      <c r="C876" s="2">
        <v>800</v>
      </c>
      <c r="D876" s="2">
        <v>100</v>
      </c>
      <c r="E876" s="2">
        <v>180</v>
      </c>
      <c r="F876" s="2">
        <v>120</v>
      </c>
      <c r="G876" s="21">
        <v>12</v>
      </c>
      <c r="H876" s="20"/>
      <c r="I876" s="20"/>
      <c r="J876" s="20"/>
      <c r="K876" s="89"/>
      <c r="L876" s="767"/>
      <c r="M876" s="20"/>
      <c r="N876" s="20"/>
      <c r="O876" s="20"/>
      <c r="P876" s="20"/>
      <c r="Q876" s="21"/>
      <c r="R876" s="22" t="s">
        <v>16</v>
      </c>
      <c r="S876" s="22">
        <v>2</v>
      </c>
      <c r="T876" s="25">
        <v>4803</v>
      </c>
      <c r="U876" s="22">
        <v>0</v>
      </c>
      <c r="V876" s="20" t="str">
        <f t="shared" si="81"/>
        <v>K-800x180x100</v>
      </c>
    </row>
    <row r="877" spans="1:22" ht="14.25" customHeight="1">
      <c r="A877" s="88" t="s">
        <v>228</v>
      </c>
      <c r="B877" s="76" t="s">
        <v>2167</v>
      </c>
      <c r="C877" s="2">
        <v>800</v>
      </c>
      <c r="D877" s="2">
        <v>100</v>
      </c>
      <c r="E877" s="2">
        <v>190</v>
      </c>
      <c r="F877" s="2">
        <v>110</v>
      </c>
      <c r="G877" s="21">
        <v>12</v>
      </c>
      <c r="H877" s="20"/>
      <c r="I877" s="20"/>
      <c r="J877" s="20"/>
      <c r="K877" s="89"/>
      <c r="L877" s="767"/>
      <c r="M877" s="20"/>
      <c r="N877" s="20"/>
      <c r="O877" s="20"/>
      <c r="P877" s="20"/>
      <c r="Q877" s="21"/>
      <c r="R877" s="22" t="s">
        <v>16</v>
      </c>
      <c r="S877" s="22">
        <v>2</v>
      </c>
      <c r="T877" s="25">
        <v>3805</v>
      </c>
      <c r="U877" s="22">
        <v>0</v>
      </c>
      <c r="V877" s="20" t="str">
        <f t="shared" si="81"/>
        <v>K-800x190x100</v>
      </c>
    </row>
    <row r="878" spans="1:22" ht="15">
      <c r="A878" s="88" t="s">
        <v>229</v>
      </c>
      <c r="B878" s="76" t="s">
        <v>2167</v>
      </c>
      <c r="C878" s="2">
        <v>800</v>
      </c>
      <c r="D878" s="2">
        <v>100</v>
      </c>
      <c r="E878" s="2">
        <v>210</v>
      </c>
      <c r="F878" s="2">
        <v>90</v>
      </c>
      <c r="G878" s="21">
        <v>12</v>
      </c>
      <c r="H878" s="20"/>
      <c r="I878" s="20"/>
      <c r="J878" s="20"/>
      <c r="K878" s="89"/>
      <c r="L878" s="767"/>
      <c r="M878" s="20"/>
      <c r="N878" s="20"/>
      <c r="O878" s="20"/>
      <c r="P878" s="20"/>
      <c r="Q878" s="21"/>
      <c r="R878" s="22" t="s">
        <v>16</v>
      </c>
      <c r="S878" s="22">
        <v>2</v>
      </c>
      <c r="T878" s="25">
        <v>2808</v>
      </c>
      <c r="U878" s="22">
        <v>0</v>
      </c>
      <c r="V878" s="20" t="str">
        <f t="shared" si="81"/>
        <v>K-800x210x100</v>
      </c>
    </row>
    <row r="879" spans="1:22" ht="15">
      <c r="A879" s="88" t="s">
        <v>230</v>
      </c>
      <c r="B879" s="76" t="s">
        <v>2167</v>
      </c>
      <c r="C879" s="2">
        <v>850</v>
      </c>
      <c r="D879" s="2">
        <v>100</v>
      </c>
      <c r="E879" s="2">
        <v>150</v>
      </c>
      <c r="F879" s="2">
        <v>150</v>
      </c>
      <c r="G879" s="21">
        <v>12.75</v>
      </c>
      <c r="H879" s="20"/>
      <c r="I879" s="20"/>
      <c r="J879" s="20"/>
      <c r="K879" s="89"/>
      <c r="L879" s="767"/>
      <c r="M879" s="20"/>
      <c r="N879" s="20"/>
      <c r="O879" s="20"/>
      <c r="P879" s="20"/>
      <c r="Q879" s="21"/>
      <c r="R879" s="22" t="s">
        <v>16</v>
      </c>
      <c r="S879" s="22">
        <v>2</v>
      </c>
      <c r="T879" s="25" t="s">
        <v>16</v>
      </c>
      <c r="U879" s="22">
        <v>0</v>
      </c>
      <c r="V879" s="20" t="str">
        <f t="shared" si="81"/>
        <v>K-850x150x100</v>
      </c>
    </row>
    <row r="880" spans="1:22" ht="15">
      <c r="A880" s="88" t="s">
        <v>231</v>
      </c>
      <c r="B880" s="76" t="s">
        <v>2167</v>
      </c>
      <c r="C880" s="2">
        <v>850</v>
      </c>
      <c r="D880" s="2">
        <v>100</v>
      </c>
      <c r="E880" s="2">
        <v>154</v>
      </c>
      <c r="F880" s="2">
        <v>146</v>
      </c>
      <c r="G880" s="21">
        <v>12.75</v>
      </c>
      <c r="H880" s="20"/>
      <c r="I880" s="20"/>
      <c r="J880" s="20"/>
      <c r="K880" s="89"/>
      <c r="L880" s="767"/>
      <c r="M880" s="20"/>
      <c r="N880" s="20"/>
      <c r="O880" s="20"/>
      <c r="P880" s="20"/>
      <c r="Q880" s="21"/>
      <c r="R880" s="22" t="s">
        <v>16</v>
      </c>
      <c r="S880" s="22">
        <v>2</v>
      </c>
      <c r="T880" s="25">
        <v>32725</v>
      </c>
      <c r="U880" s="22">
        <v>0</v>
      </c>
      <c r="V880" s="20" t="str">
        <f t="shared" si="81"/>
        <v>K-850x154x100</v>
      </c>
    </row>
    <row r="881" spans="1:22" ht="15">
      <c r="A881" s="88" t="s">
        <v>232</v>
      </c>
      <c r="B881" s="76" t="s">
        <v>2167</v>
      </c>
      <c r="C881" s="2">
        <v>850</v>
      </c>
      <c r="D881" s="2">
        <v>100</v>
      </c>
      <c r="E881" s="2">
        <v>160</v>
      </c>
      <c r="F881" s="2">
        <v>140</v>
      </c>
      <c r="G881" s="21">
        <v>12.75</v>
      </c>
      <c r="H881" s="20"/>
      <c r="I881" s="20"/>
      <c r="J881" s="20"/>
      <c r="K881" s="89"/>
      <c r="L881" s="767"/>
      <c r="M881" s="20"/>
      <c r="N881" s="20"/>
      <c r="O881" s="20"/>
      <c r="P881" s="20"/>
      <c r="Q881" s="21"/>
      <c r="R881" s="22" t="s">
        <v>16</v>
      </c>
      <c r="S881" s="22">
        <v>2</v>
      </c>
      <c r="T881" s="25">
        <v>13601</v>
      </c>
      <c r="U881" s="22">
        <v>0</v>
      </c>
      <c r="V881" s="20" t="str">
        <f t="shared" si="81"/>
        <v>K-850x160x100</v>
      </c>
    </row>
    <row r="882" spans="1:22" ht="14.25" customHeight="1">
      <c r="A882" s="88" t="s">
        <v>233</v>
      </c>
      <c r="B882" s="76" t="s">
        <v>2167</v>
      </c>
      <c r="C882" s="2">
        <v>850</v>
      </c>
      <c r="D882" s="2">
        <v>100</v>
      </c>
      <c r="E882" s="2">
        <v>168</v>
      </c>
      <c r="F882" s="2">
        <v>132</v>
      </c>
      <c r="G882" s="21">
        <v>12.75</v>
      </c>
      <c r="H882" s="20"/>
      <c r="I882" s="20"/>
      <c r="J882" s="20"/>
      <c r="K882" s="89"/>
      <c r="L882" s="767"/>
      <c r="M882" s="20"/>
      <c r="N882" s="20"/>
      <c r="O882" s="20"/>
      <c r="P882" s="20"/>
      <c r="Q882" s="21"/>
      <c r="R882" s="22" t="s">
        <v>16</v>
      </c>
      <c r="S882" s="22">
        <v>2</v>
      </c>
      <c r="T882" s="25">
        <v>7935</v>
      </c>
      <c r="U882" s="22">
        <v>0</v>
      </c>
      <c r="V882" s="20" t="str">
        <f t="shared" ref="V882:V913" si="82">B882&amp;"-"&amp;C882&amp;"x"&amp;E882&amp;"x"&amp;D882</f>
        <v>K-850x168x100</v>
      </c>
    </row>
    <row r="883" spans="1:22" ht="15">
      <c r="A883" s="88" t="s">
        <v>234</v>
      </c>
      <c r="B883" s="76" t="s">
        <v>2167</v>
      </c>
      <c r="C883" s="2">
        <v>850</v>
      </c>
      <c r="D883" s="2">
        <v>100</v>
      </c>
      <c r="E883" s="2">
        <v>180</v>
      </c>
      <c r="F883" s="2">
        <v>120</v>
      </c>
      <c r="G883" s="21">
        <v>12.75</v>
      </c>
      <c r="H883" s="20"/>
      <c r="I883" s="20"/>
      <c r="J883" s="20"/>
      <c r="K883" s="89"/>
      <c r="L883" s="767"/>
      <c r="M883" s="20"/>
      <c r="N883" s="20"/>
      <c r="O883" s="20"/>
      <c r="P883" s="20"/>
      <c r="Q883" s="21"/>
      <c r="R883" s="22" t="s">
        <v>16</v>
      </c>
      <c r="S883" s="22">
        <v>2</v>
      </c>
      <c r="T883" s="25">
        <v>5103</v>
      </c>
      <c r="U883" s="22">
        <v>0</v>
      </c>
      <c r="V883" s="20" t="str">
        <f t="shared" si="82"/>
        <v>K-850x180x100</v>
      </c>
    </row>
    <row r="884" spans="1:22" ht="15">
      <c r="A884" s="88" t="s">
        <v>235</v>
      </c>
      <c r="B884" s="76" t="s">
        <v>2167</v>
      </c>
      <c r="C884" s="2">
        <v>850</v>
      </c>
      <c r="D884" s="2">
        <v>100</v>
      </c>
      <c r="E884" s="2">
        <v>190</v>
      </c>
      <c r="F884" s="2">
        <v>110</v>
      </c>
      <c r="G884" s="21">
        <v>12.75</v>
      </c>
      <c r="H884" s="20"/>
      <c r="I884" s="20"/>
      <c r="J884" s="20"/>
      <c r="K884" s="89"/>
      <c r="L884" s="767"/>
      <c r="M884" s="20"/>
      <c r="N884" s="20"/>
      <c r="O884" s="20"/>
      <c r="P884" s="20"/>
      <c r="Q884" s="21"/>
      <c r="R884" s="22" t="s">
        <v>16</v>
      </c>
      <c r="S884" s="22">
        <v>2</v>
      </c>
      <c r="T884" s="25">
        <v>4042</v>
      </c>
      <c r="U884" s="22">
        <v>0</v>
      </c>
      <c r="V884" s="20" t="str">
        <f t="shared" si="82"/>
        <v>K-850x190x100</v>
      </c>
    </row>
    <row r="885" spans="1:22" ht="14.25" customHeight="1">
      <c r="A885" s="88" t="s">
        <v>236</v>
      </c>
      <c r="B885" s="76" t="s">
        <v>2167</v>
      </c>
      <c r="C885" s="2">
        <v>850</v>
      </c>
      <c r="D885" s="2">
        <v>100</v>
      </c>
      <c r="E885" s="2">
        <v>210</v>
      </c>
      <c r="F885" s="2">
        <v>90</v>
      </c>
      <c r="G885" s="21">
        <v>12.75</v>
      </c>
      <c r="H885" s="20"/>
      <c r="I885" s="20"/>
      <c r="J885" s="20"/>
      <c r="K885" s="89"/>
      <c r="L885" s="767"/>
      <c r="M885" s="20"/>
      <c r="N885" s="20"/>
      <c r="O885" s="20"/>
      <c r="P885" s="20"/>
      <c r="Q885" s="21"/>
      <c r="R885" s="22" t="s">
        <v>16</v>
      </c>
      <c r="S885" s="22">
        <v>2</v>
      </c>
      <c r="T885" s="25">
        <v>2982</v>
      </c>
      <c r="U885" s="22">
        <v>0</v>
      </c>
      <c r="V885" s="20" t="str">
        <f t="shared" si="82"/>
        <v>K-850x210x100</v>
      </c>
    </row>
    <row r="886" spans="1:22" ht="15">
      <c r="A886" s="88" t="s">
        <v>237</v>
      </c>
      <c r="B886" s="76" t="s">
        <v>2167</v>
      </c>
      <c r="C886" s="2">
        <v>900</v>
      </c>
      <c r="D886" s="2">
        <v>100</v>
      </c>
      <c r="E886" s="2">
        <v>150</v>
      </c>
      <c r="F886" s="2">
        <v>150</v>
      </c>
      <c r="G886" s="21">
        <v>13.5</v>
      </c>
      <c r="H886" s="20"/>
      <c r="I886" s="20"/>
      <c r="J886" s="20"/>
      <c r="K886" s="89"/>
      <c r="L886" s="767"/>
      <c r="M886" s="20"/>
      <c r="N886" s="20"/>
      <c r="O886" s="20"/>
      <c r="P886" s="20"/>
      <c r="Q886" s="21"/>
      <c r="R886" s="22" t="s">
        <v>16</v>
      </c>
      <c r="S886" s="22">
        <v>2</v>
      </c>
      <c r="T886" s="25" t="s">
        <v>16</v>
      </c>
      <c r="U886" s="22">
        <v>0</v>
      </c>
      <c r="V886" s="20" t="str">
        <f t="shared" si="82"/>
        <v>K-900x150x100</v>
      </c>
    </row>
    <row r="887" spans="1:22" ht="15">
      <c r="A887" s="88" t="s">
        <v>238</v>
      </c>
      <c r="B887" s="76" t="s">
        <v>2167</v>
      </c>
      <c r="C887" s="2">
        <v>900</v>
      </c>
      <c r="D887" s="2">
        <v>100</v>
      </c>
      <c r="E887" s="2">
        <v>154</v>
      </c>
      <c r="F887" s="2">
        <v>146</v>
      </c>
      <c r="G887" s="21">
        <v>13.5</v>
      </c>
      <c r="H887" s="20"/>
      <c r="I887" s="20"/>
      <c r="J887" s="20"/>
      <c r="K887" s="89"/>
      <c r="L887" s="767"/>
      <c r="M887" s="20"/>
      <c r="N887" s="20"/>
      <c r="O887" s="20"/>
      <c r="P887" s="20"/>
      <c r="Q887" s="21"/>
      <c r="R887" s="22" t="s">
        <v>16</v>
      </c>
      <c r="S887" s="22">
        <v>2</v>
      </c>
      <c r="T887" s="25">
        <v>34650</v>
      </c>
      <c r="U887" s="22">
        <v>0</v>
      </c>
      <c r="V887" s="20" t="str">
        <f t="shared" si="82"/>
        <v>K-900x154x100</v>
      </c>
    </row>
    <row r="888" spans="1:22" ht="14.25" customHeight="1">
      <c r="A888" s="88" t="s">
        <v>239</v>
      </c>
      <c r="B888" s="76" t="s">
        <v>2167</v>
      </c>
      <c r="C888" s="2">
        <v>900</v>
      </c>
      <c r="D888" s="2">
        <v>100</v>
      </c>
      <c r="E888" s="2">
        <v>160</v>
      </c>
      <c r="F888" s="2">
        <v>140</v>
      </c>
      <c r="G888" s="21">
        <v>13.5</v>
      </c>
      <c r="H888" s="20"/>
      <c r="I888" s="20"/>
      <c r="J888" s="20"/>
      <c r="K888" s="89"/>
      <c r="L888" s="767"/>
      <c r="M888" s="20"/>
      <c r="N888" s="20"/>
      <c r="O888" s="20"/>
      <c r="P888" s="20"/>
      <c r="Q888" s="21"/>
      <c r="R888" s="22" t="s">
        <v>16</v>
      </c>
      <c r="S888" s="22">
        <v>2</v>
      </c>
      <c r="T888" s="25">
        <v>14401</v>
      </c>
      <c r="U888" s="22">
        <v>0</v>
      </c>
      <c r="V888" s="20" t="str">
        <f t="shared" si="82"/>
        <v>K-900x160x100</v>
      </c>
    </row>
    <row r="889" spans="1:22" ht="15">
      <c r="A889" s="88" t="s">
        <v>240</v>
      </c>
      <c r="B889" s="76" t="s">
        <v>2167</v>
      </c>
      <c r="C889" s="2">
        <v>900</v>
      </c>
      <c r="D889" s="2">
        <v>100</v>
      </c>
      <c r="E889" s="2">
        <v>168</v>
      </c>
      <c r="F889" s="2">
        <v>132</v>
      </c>
      <c r="G889" s="21">
        <v>13.5</v>
      </c>
      <c r="H889" s="20"/>
      <c r="I889" s="20"/>
      <c r="J889" s="20"/>
      <c r="K889" s="89"/>
      <c r="L889" s="767"/>
      <c r="M889" s="20"/>
      <c r="N889" s="20"/>
      <c r="O889" s="20"/>
      <c r="P889" s="20"/>
      <c r="Q889" s="21"/>
      <c r="R889" s="22" t="s">
        <v>16</v>
      </c>
      <c r="S889" s="22">
        <v>2</v>
      </c>
      <c r="T889" s="25">
        <v>8402</v>
      </c>
      <c r="U889" s="22">
        <v>0</v>
      </c>
      <c r="V889" s="20" t="str">
        <f t="shared" si="82"/>
        <v>K-900x168x100</v>
      </c>
    </row>
    <row r="890" spans="1:22" ht="15">
      <c r="A890" s="88" t="s">
        <v>241</v>
      </c>
      <c r="B890" s="76" t="s">
        <v>2167</v>
      </c>
      <c r="C890" s="2">
        <v>900</v>
      </c>
      <c r="D890" s="2">
        <v>100</v>
      </c>
      <c r="E890" s="2">
        <v>180</v>
      </c>
      <c r="F890" s="2">
        <v>120</v>
      </c>
      <c r="G890" s="21">
        <v>13.5</v>
      </c>
      <c r="H890" s="20"/>
      <c r="I890" s="20"/>
      <c r="J890" s="20"/>
      <c r="K890" s="89"/>
      <c r="L890" s="767"/>
      <c r="M890" s="20"/>
      <c r="N890" s="20"/>
      <c r="O890" s="20"/>
      <c r="P890" s="20"/>
      <c r="Q890" s="21"/>
      <c r="R890" s="22" t="s">
        <v>16</v>
      </c>
      <c r="S890" s="22">
        <v>2</v>
      </c>
      <c r="T890" s="25">
        <v>5403</v>
      </c>
      <c r="U890" s="22">
        <v>0</v>
      </c>
      <c r="V890" s="20" t="str">
        <f t="shared" si="82"/>
        <v>K-900x180x100</v>
      </c>
    </row>
    <row r="891" spans="1:22" ht="14.25" customHeight="1">
      <c r="A891" s="88" t="s">
        <v>242</v>
      </c>
      <c r="B891" s="76" t="s">
        <v>2167</v>
      </c>
      <c r="C891" s="2">
        <v>900</v>
      </c>
      <c r="D891" s="2">
        <v>100</v>
      </c>
      <c r="E891" s="2">
        <v>190</v>
      </c>
      <c r="F891" s="2">
        <v>110</v>
      </c>
      <c r="G891" s="21">
        <v>13.5</v>
      </c>
      <c r="H891" s="20"/>
      <c r="I891" s="20"/>
      <c r="J891" s="20"/>
      <c r="K891" s="89"/>
      <c r="L891" s="767"/>
      <c r="M891" s="20"/>
      <c r="N891" s="20"/>
      <c r="O891" s="20"/>
      <c r="P891" s="20"/>
      <c r="Q891" s="21"/>
      <c r="R891" s="22" t="s">
        <v>16</v>
      </c>
      <c r="S891" s="22">
        <v>2</v>
      </c>
      <c r="T891" s="25">
        <v>4279</v>
      </c>
      <c r="U891" s="22">
        <v>0</v>
      </c>
      <c r="V891" s="20" t="str">
        <f t="shared" si="82"/>
        <v>K-900x190x100</v>
      </c>
    </row>
    <row r="892" spans="1:22" ht="15">
      <c r="A892" s="88" t="s">
        <v>243</v>
      </c>
      <c r="B892" s="76" t="s">
        <v>2167</v>
      </c>
      <c r="C892" s="2">
        <v>900</v>
      </c>
      <c r="D892" s="2">
        <v>100</v>
      </c>
      <c r="E892" s="2">
        <v>210</v>
      </c>
      <c r="F892" s="2">
        <v>90</v>
      </c>
      <c r="G892" s="21">
        <v>13.5</v>
      </c>
      <c r="H892" s="20"/>
      <c r="I892" s="20"/>
      <c r="J892" s="20"/>
      <c r="K892" s="89"/>
      <c r="L892" s="767"/>
      <c r="M892" s="20"/>
      <c r="N892" s="20"/>
      <c r="O892" s="20"/>
      <c r="P892" s="20"/>
      <c r="Q892" s="21"/>
      <c r="R892" s="22" t="s">
        <v>16</v>
      </c>
      <c r="S892" s="22">
        <v>2</v>
      </c>
      <c r="T892" s="25">
        <v>3157</v>
      </c>
      <c r="U892" s="22">
        <v>0</v>
      </c>
      <c r="V892" s="20" t="str">
        <f t="shared" si="82"/>
        <v>K-900x210x100</v>
      </c>
    </row>
    <row r="893" spans="1:22" ht="15">
      <c r="A893" s="88" t="s">
        <v>244</v>
      </c>
      <c r="B893" s="76" t="s">
        <v>2167</v>
      </c>
      <c r="C893" s="2">
        <v>950</v>
      </c>
      <c r="D893" s="2">
        <v>100</v>
      </c>
      <c r="E893" s="2">
        <v>160</v>
      </c>
      <c r="F893" s="2">
        <v>140</v>
      </c>
      <c r="G893" s="21">
        <v>14.25</v>
      </c>
      <c r="H893" s="20"/>
      <c r="I893" s="20"/>
      <c r="J893" s="20"/>
      <c r="K893" s="89"/>
      <c r="L893" s="767"/>
      <c r="M893" s="20"/>
      <c r="N893" s="20"/>
      <c r="O893" s="20"/>
      <c r="P893" s="20"/>
      <c r="Q893" s="21"/>
      <c r="R893" s="22" t="s">
        <v>16</v>
      </c>
      <c r="S893" s="22">
        <v>2</v>
      </c>
      <c r="T893" s="25">
        <v>15201</v>
      </c>
      <c r="U893" s="22">
        <v>0</v>
      </c>
      <c r="V893" s="20" t="str">
        <f t="shared" si="82"/>
        <v>K-950x160x100</v>
      </c>
    </row>
    <row r="894" spans="1:22" ht="15">
      <c r="A894" s="88" t="s">
        <v>245</v>
      </c>
      <c r="B894" s="76" t="s">
        <v>2167</v>
      </c>
      <c r="C894" s="2">
        <v>950</v>
      </c>
      <c r="D894" s="2">
        <v>100</v>
      </c>
      <c r="E894" s="2">
        <v>168</v>
      </c>
      <c r="F894" s="2">
        <v>132</v>
      </c>
      <c r="G894" s="21">
        <v>14.25</v>
      </c>
      <c r="H894" s="20"/>
      <c r="I894" s="20"/>
      <c r="J894" s="20"/>
      <c r="K894" s="89"/>
      <c r="L894" s="767"/>
      <c r="M894" s="20"/>
      <c r="N894" s="20"/>
      <c r="O894" s="20"/>
      <c r="P894" s="20"/>
      <c r="Q894" s="21"/>
      <c r="R894" s="22" t="s">
        <v>16</v>
      </c>
      <c r="S894" s="22">
        <v>2</v>
      </c>
      <c r="T894" s="25">
        <v>8868</v>
      </c>
      <c r="U894" s="22">
        <v>0</v>
      </c>
      <c r="V894" s="20" t="str">
        <f t="shared" si="82"/>
        <v>K-950x168x100</v>
      </c>
    </row>
    <row r="895" spans="1:22" ht="15">
      <c r="A895" s="88" t="s">
        <v>246</v>
      </c>
      <c r="B895" s="76" t="s">
        <v>2167</v>
      </c>
      <c r="C895" s="2">
        <v>950</v>
      </c>
      <c r="D895" s="2">
        <v>100</v>
      </c>
      <c r="E895" s="2">
        <v>170</v>
      </c>
      <c r="F895" s="2">
        <v>130</v>
      </c>
      <c r="G895" s="21">
        <v>14.25</v>
      </c>
      <c r="H895" s="20"/>
      <c r="I895" s="20"/>
      <c r="J895" s="20"/>
      <c r="K895" s="89"/>
      <c r="L895" s="767"/>
      <c r="M895" s="20"/>
      <c r="N895" s="20"/>
      <c r="O895" s="20"/>
      <c r="P895" s="20"/>
      <c r="Q895" s="21"/>
      <c r="R895" s="22" t="s">
        <v>16</v>
      </c>
      <c r="S895" s="22">
        <v>2</v>
      </c>
      <c r="T895" s="25">
        <v>8077</v>
      </c>
      <c r="U895" s="22">
        <v>0</v>
      </c>
      <c r="V895" s="20" t="str">
        <f t="shared" si="82"/>
        <v>K-950x170x100</v>
      </c>
    </row>
    <row r="896" spans="1:22" ht="14.25" customHeight="1">
      <c r="A896" s="88" t="s">
        <v>247</v>
      </c>
      <c r="B896" s="76" t="s">
        <v>2167</v>
      </c>
      <c r="C896" s="2">
        <v>950</v>
      </c>
      <c r="D896" s="2">
        <v>100</v>
      </c>
      <c r="E896" s="2">
        <v>180</v>
      </c>
      <c r="F896" s="2">
        <v>120</v>
      </c>
      <c r="G896" s="21">
        <v>14.25</v>
      </c>
      <c r="H896" s="20"/>
      <c r="I896" s="20"/>
      <c r="J896" s="20"/>
      <c r="K896" s="89"/>
      <c r="L896" s="767"/>
      <c r="M896" s="20"/>
      <c r="N896" s="20"/>
      <c r="O896" s="20"/>
      <c r="P896" s="20"/>
      <c r="Q896" s="21"/>
      <c r="R896" s="22" t="s">
        <v>16</v>
      </c>
      <c r="S896" s="22">
        <v>2</v>
      </c>
      <c r="T896" s="25">
        <v>5703</v>
      </c>
      <c r="U896" s="22">
        <v>0</v>
      </c>
      <c r="V896" s="20" t="str">
        <f t="shared" si="82"/>
        <v>K-950x180x100</v>
      </c>
    </row>
    <row r="897" spans="1:22" ht="15">
      <c r="A897" s="88" t="s">
        <v>248</v>
      </c>
      <c r="B897" s="76" t="s">
        <v>2167</v>
      </c>
      <c r="C897" s="2">
        <v>950</v>
      </c>
      <c r="D897" s="2">
        <v>100</v>
      </c>
      <c r="E897" s="2">
        <v>190</v>
      </c>
      <c r="F897" s="2">
        <v>110</v>
      </c>
      <c r="G897" s="21">
        <v>14.25</v>
      </c>
      <c r="H897" s="20"/>
      <c r="I897" s="20"/>
      <c r="J897" s="20"/>
      <c r="K897" s="89"/>
      <c r="L897" s="767"/>
      <c r="M897" s="20"/>
      <c r="N897" s="20"/>
      <c r="O897" s="20"/>
      <c r="P897" s="20"/>
      <c r="Q897" s="21"/>
      <c r="R897" s="22" t="s">
        <v>16</v>
      </c>
      <c r="S897" s="22">
        <v>2</v>
      </c>
      <c r="T897" s="25">
        <v>4516</v>
      </c>
      <c r="U897" s="22">
        <v>0</v>
      </c>
      <c r="V897" s="20" t="str">
        <f t="shared" si="82"/>
        <v>K-950x190x100</v>
      </c>
    </row>
    <row r="898" spans="1:22" ht="15">
      <c r="A898" s="88" t="s">
        <v>249</v>
      </c>
      <c r="B898" s="76" t="s">
        <v>2167</v>
      </c>
      <c r="C898" s="2">
        <v>950</v>
      </c>
      <c r="D898" s="2">
        <v>100</v>
      </c>
      <c r="E898" s="2">
        <v>210</v>
      </c>
      <c r="F898" s="2">
        <v>90</v>
      </c>
      <c r="G898" s="21">
        <v>14.25</v>
      </c>
      <c r="H898" s="20"/>
      <c r="I898" s="20"/>
      <c r="J898" s="20"/>
      <c r="K898" s="89"/>
      <c r="L898" s="767"/>
      <c r="M898" s="20"/>
      <c r="N898" s="20"/>
      <c r="O898" s="20"/>
      <c r="P898" s="20"/>
      <c r="Q898" s="21"/>
      <c r="R898" s="22" t="s">
        <v>16</v>
      </c>
      <c r="S898" s="22">
        <v>2</v>
      </c>
      <c r="T898" s="25">
        <v>3332</v>
      </c>
      <c r="U898" s="22">
        <v>0</v>
      </c>
      <c r="V898" s="20" t="str">
        <f t="shared" si="82"/>
        <v>K-950x210x100</v>
      </c>
    </row>
    <row r="899" spans="1:22" ht="14.25" customHeight="1">
      <c r="A899" s="88" t="s">
        <v>250</v>
      </c>
      <c r="B899" s="76" t="s">
        <v>2167</v>
      </c>
      <c r="C899" s="2">
        <v>1000</v>
      </c>
      <c r="D899" s="2">
        <v>100</v>
      </c>
      <c r="E899" s="2">
        <v>150</v>
      </c>
      <c r="F899" s="2">
        <v>150</v>
      </c>
      <c r="G899" s="21">
        <v>15</v>
      </c>
      <c r="H899" s="20"/>
      <c r="I899" s="20"/>
      <c r="J899" s="20"/>
      <c r="K899" s="89"/>
      <c r="L899" s="767"/>
      <c r="M899" s="20"/>
      <c r="N899" s="20"/>
      <c r="O899" s="20"/>
      <c r="P899" s="20"/>
      <c r="Q899" s="21"/>
      <c r="R899" s="22" t="s">
        <v>16</v>
      </c>
      <c r="S899" s="22">
        <v>2</v>
      </c>
      <c r="T899" s="25" t="s">
        <v>16</v>
      </c>
      <c r="U899" s="22">
        <v>0</v>
      </c>
      <c r="V899" s="20" t="str">
        <f t="shared" si="82"/>
        <v>K-1000x150x100</v>
      </c>
    </row>
    <row r="900" spans="1:22" ht="15">
      <c r="A900" s="88" t="s">
        <v>251</v>
      </c>
      <c r="B900" s="76" t="s">
        <v>2167</v>
      </c>
      <c r="C900" s="2">
        <v>1000</v>
      </c>
      <c r="D900" s="2">
        <v>100</v>
      </c>
      <c r="E900" s="2">
        <v>160</v>
      </c>
      <c r="F900" s="2">
        <v>140</v>
      </c>
      <c r="G900" s="21">
        <v>15</v>
      </c>
      <c r="H900" s="20"/>
      <c r="I900" s="20"/>
      <c r="J900" s="20"/>
      <c r="K900" s="89"/>
      <c r="L900" s="767"/>
      <c r="M900" s="20"/>
      <c r="N900" s="20"/>
      <c r="O900" s="20"/>
      <c r="P900" s="20"/>
      <c r="Q900" s="21"/>
      <c r="R900" s="22" t="s">
        <v>16</v>
      </c>
      <c r="S900" s="22">
        <v>2</v>
      </c>
      <c r="T900" s="25">
        <v>16001</v>
      </c>
      <c r="U900" s="22">
        <v>0</v>
      </c>
      <c r="V900" s="20" t="str">
        <f t="shared" si="82"/>
        <v>K-1000x160x100</v>
      </c>
    </row>
    <row r="901" spans="1:22" ht="15">
      <c r="A901" s="88" t="s">
        <v>252</v>
      </c>
      <c r="B901" s="76" t="s">
        <v>2167</v>
      </c>
      <c r="C901" s="2">
        <v>1000</v>
      </c>
      <c r="D901" s="2">
        <v>100</v>
      </c>
      <c r="E901" s="2">
        <v>168</v>
      </c>
      <c r="F901" s="2">
        <v>132</v>
      </c>
      <c r="G901" s="21">
        <v>15</v>
      </c>
      <c r="H901" s="20"/>
      <c r="I901" s="20"/>
      <c r="J901" s="20"/>
      <c r="K901" s="89"/>
      <c r="L901" s="767"/>
      <c r="M901" s="20"/>
      <c r="N901" s="20"/>
      <c r="O901" s="20"/>
      <c r="P901" s="20"/>
      <c r="Q901" s="21"/>
      <c r="R901" s="22" t="s">
        <v>16</v>
      </c>
      <c r="S901" s="22">
        <v>2</v>
      </c>
      <c r="T901" s="25">
        <v>9335</v>
      </c>
      <c r="U901" s="22">
        <v>0</v>
      </c>
      <c r="V901" s="20" t="str">
        <f t="shared" si="82"/>
        <v>K-1000x168x100</v>
      </c>
    </row>
    <row r="902" spans="1:22" ht="14.25" customHeight="1">
      <c r="A902" s="88" t="s">
        <v>253</v>
      </c>
      <c r="B902" s="76" t="s">
        <v>2167</v>
      </c>
      <c r="C902" s="2">
        <v>1000</v>
      </c>
      <c r="D902" s="2">
        <v>100</v>
      </c>
      <c r="E902" s="2">
        <v>180</v>
      </c>
      <c r="F902" s="2">
        <v>120</v>
      </c>
      <c r="G902" s="21">
        <v>15</v>
      </c>
      <c r="H902" s="20"/>
      <c r="I902" s="20"/>
      <c r="J902" s="20"/>
      <c r="K902" s="89"/>
      <c r="L902" s="767"/>
      <c r="M902" s="20"/>
      <c r="N902" s="20"/>
      <c r="O902" s="20"/>
      <c r="P902" s="20"/>
      <c r="Q902" s="21"/>
      <c r="R902" s="22" t="s">
        <v>16</v>
      </c>
      <c r="S902" s="22">
        <v>2</v>
      </c>
      <c r="T902" s="25">
        <v>6003</v>
      </c>
      <c r="U902" s="22">
        <v>0</v>
      </c>
      <c r="V902" s="20" t="str">
        <f t="shared" si="82"/>
        <v>K-1000x180x100</v>
      </c>
    </row>
    <row r="903" spans="1:22" ht="15">
      <c r="A903" s="88" t="s">
        <v>254</v>
      </c>
      <c r="B903" s="76" t="s">
        <v>2167</v>
      </c>
      <c r="C903" s="2">
        <v>1000</v>
      </c>
      <c r="D903" s="2">
        <v>100</v>
      </c>
      <c r="E903" s="2">
        <v>190</v>
      </c>
      <c r="F903" s="2">
        <v>110</v>
      </c>
      <c r="G903" s="21">
        <v>15</v>
      </c>
      <c r="H903" s="20"/>
      <c r="I903" s="20"/>
      <c r="J903" s="20"/>
      <c r="K903" s="89"/>
      <c r="L903" s="767"/>
      <c r="M903" s="20"/>
      <c r="N903" s="20"/>
      <c r="O903" s="20"/>
      <c r="P903" s="20"/>
      <c r="Q903" s="21"/>
      <c r="R903" s="22" t="s">
        <v>16</v>
      </c>
      <c r="S903" s="22">
        <v>2</v>
      </c>
      <c r="T903" s="25">
        <v>4754</v>
      </c>
      <c r="U903" s="22">
        <v>0</v>
      </c>
      <c r="V903" s="20" t="str">
        <f t="shared" si="82"/>
        <v>K-1000x190x100</v>
      </c>
    </row>
    <row r="904" spans="1:22" ht="15">
      <c r="A904" s="88" t="s">
        <v>255</v>
      </c>
      <c r="B904" s="76" t="s">
        <v>2167</v>
      </c>
      <c r="C904" s="2">
        <v>1000</v>
      </c>
      <c r="D904" s="2">
        <v>100</v>
      </c>
      <c r="E904" s="2">
        <v>210</v>
      </c>
      <c r="F904" s="2">
        <v>90</v>
      </c>
      <c r="G904" s="21">
        <v>15</v>
      </c>
      <c r="H904" s="20"/>
      <c r="I904" s="20"/>
      <c r="J904" s="20"/>
      <c r="K904" s="89"/>
      <c r="L904" s="767"/>
      <c r="M904" s="20"/>
      <c r="N904" s="20"/>
      <c r="O904" s="20"/>
      <c r="P904" s="20"/>
      <c r="Q904" s="21"/>
      <c r="R904" s="22" t="s">
        <v>16</v>
      </c>
      <c r="S904" s="22">
        <v>2</v>
      </c>
      <c r="T904" s="25">
        <v>3506</v>
      </c>
      <c r="U904" s="22">
        <v>0</v>
      </c>
      <c r="V904" s="20" t="str">
        <f t="shared" si="82"/>
        <v>K-1000x210x100</v>
      </c>
    </row>
    <row r="905" spans="1:22" ht="14.25" customHeight="1">
      <c r="A905" s="88" t="s">
        <v>256</v>
      </c>
      <c r="B905" s="76" t="s">
        <v>2167</v>
      </c>
      <c r="C905" s="2">
        <v>1050</v>
      </c>
      <c r="D905" s="2">
        <v>100</v>
      </c>
      <c r="E905" s="2">
        <v>168</v>
      </c>
      <c r="F905" s="2">
        <v>132</v>
      </c>
      <c r="G905" s="21">
        <v>15.75</v>
      </c>
      <c r="H905" s="20"/>
      <c r="I905" s="20"/>
      <c r="J905" s="20"/>
      <c r="K905" s="89"/>
      <c r="L905" s="767"/>
      <c r="M905" s="20"/>
      <c r="N905" s="20"/>
      <c r="O905" s="20"/>
      <c r="P905" s="20"/>
      <c r="Q905" s="21"/>
      <c r="R905" s="22" t="s">
        <v>16</v>
      </c>
      <c r="S905" s="22">
        <v>2</v>
      </c>
      <c r="T905" s="25">
        <v>9801</v>
      </c>
      <c r="U905" s="22">
        <v>0</v>
      </c>
      <c r="V905" s="20" t="str">
        <f t="shared" si="82"/>
        <v>K-1050x168x100</v>
      </c>
    </row>
    <row r="906" spans="1:22" ht="15">
      <c r="A906" s="88" t="s">
        <v>257</v>
      </c>
      <c r="B906" s="76" t="s">
        <v>2167</v>
      </c>
      <c r="C906" s="2">
        <v>1050</v>
      </c>
      <c r="D906" s="2">
        <v>100</v>
      </c>
      <c r="E906" s="2">
        <v>190</v>
      </c>
      <c r="F906" s="2">
        <v>110</v>
      </c>
      <c r="G906" s="21">
        <v>15.75</v>
      </c>
      <c r="H906" s="20"/>
      <c r="I906" s="20"/>
      <c r="J906" s="20"/>
      <c r="K906" s="89"/>
      <c r="L906" s="767"/>
      <c r="M906" s="20"/>
      <c r="N906" s="20"/>
      <c r="O906" s="20"/>
      <c r="P906" s="20"/>
      <c r="Q906" s="21"/>
      <c r="R906" s="22" t="s">
        <v>16</v>
      </c>
      <c r="S906" s="22">
        <v>2</v>
      </c>
      <c r="T906" s="25">
        <v>4991</v>
      </c>
      <c r="U906" s="22">
        <v>0</v>
      </c>
      <c r="V906" s="20" t="str">
        <f t="shared" si="82"/>
        <v>K-1050x190x100</v>
      </c>
    </row>
    <row r="907" spans="1:22" ht="15">
      <c r="A907" s="88" t="s">
        <v>258</v>
      </c>
      <c r="B907" s="76" t="s">
        <v>2167</v>
      </c>
      <c r="C907" s="2">
        <v>1100</v>
      </c>
      <c r="D907" s="2">
        <v>100</v>
      </c>
      <c r="E907" s="2">
        <v>154</v>
      </c>
      <c r="F907" s="2">
        <v>146</v>
      </c>
      <c r="G907" s="21">
        <v>16.5</v>
      </c>
      <c r="H907" s="20"/>
      <c r="I907" s="20"/>
      <c r="J907" s="20"/>
      <c r="K907" s="89"/>
      <c r="L907" s="767"/>
      <c r="M907" s="20"/>
      <c r="N907" s="20"/>
      <c r="O907" s="20"/>
      <c r="P907" s="20"/>
      <c r="Q907" s="21"/>
      <c r="R907" s="22" t="s">
        <v>16</v>
      </c>
      <c r="S907" s="22">
        <v>2</v>
      </c>
      <c r="T907" s="25">
        <v>4250</v>
      </c>
      <c r="U907" s="22">
        <v>0</v>
      </c>
      <c r="V907" s="20" t="str">
        <f t="shared" si="82"/>
        <v>K-1100x154x100</v>
      </c>
    </row>
    <row r="908" spans="1:22" ht="15">
      <c r="A908" s="88" t="s">
        <v>259</v>
      </c>
      <c r="B908" s="76" t="s">
        <v>2167</v>
      </c>
      <c r="C908" s="2">
        <v>1100</v>
      </c>
      <c r="D908" s="2">
        <v>100</v>
      </c>
      <c r="E908" s="2">
        <v>160</v>
      </c>
      <c r="F908" s="2">
        <v>140</v>
      </c>
      <c r="G908" s="21">
        <v>16.5</v>
      </c>
      <c r="H908" s="20"/>
      <c r="I908" s="20"/>
      <c r="J908" s="20"/>
      <c r="K908" s="89"/>
      <c r="L908" s="767"/>
      <c r="M908" s="20"/>
      <c r="N908" s="20"/>
      <c r="O908" s="20"/>
      <c r="P908" s="20"/>
      <c r="Q908" s="21"/>
      <c r="R908" s="22" t="s">
        <v>16</v>
      </c>
      <c r="S908" s="22">
        <v>2</v>
      </c>
      <c r="T908" s="25">
        <v>17601</v>
      </c>
      <c r="U908" s="22">
        <v>0</v>
      </c>
      <c r="V908" s="20" t="str">
        <f t="shared" si="82"/>
        <v>K-1100x160x100</v>
      </c>
    </row>
    <row r="909" spans="1:22" ht="15">
      <c r="A909" s="88" t="s">
        <v>260</v>
      </c>
      <c r="B909" s="76" t="s">
        <v>2167</v>
      </c>
      <c r="C909" s="2">
        <v>1100</v>
      </c>
      <c r="D909" s="2">
        <v>100</v>
      </c>
      <c r="E909" s="2">
        <v>168</v>
      </c>
      <c r="F909" s="2">
        <v>132</v>
      </c>
      <c r="G909" s="21">
        <v>16.5</v>
      </c>
      <c r="H909" s="20"/>
      <c r="I909" s="20"/>
      <c r="J909" s="20"/>
      <c r="K909" s="89"/>
      <c r="L909" s="767"/>
      <c r="M909" s="20"/>
      <c r="N909" s="20"/>
      <c r="O909" s="20"/>
      <c r="P909" s="20"/>
      <c r="Q909" s="21"/>
      <c r="R909" s="22" t="s">
        <v>16</v>
      </c>
      <c r="S909" s="22">
        <v>2</v>
      </c>
      <c r="T909" s="25">
        <v>10268</v>
      </c>
      <c r="U909" s="22">
        <v>0</v>
      </c>
      <c r="V909" s="20" t="str">
        <f t="shared" si="82"/>
        <v>K-1100x168x100</v>
      </c>
    </row>
    <row r="910" spans="1:22" ht="14.25" customHeight="1">
      <c r="A910" s="88" t="s">
        <v>261</v>
      </c>
      <c r="B910" s="76" t="s">
        <v>2167</v>
      </c>
      <c r="C910" s="2">
        <v>1100</v>
      </c>
      <c r="D910" s="2">
        <v>100</v>
      </c>
      <c r="E910" s="2">
        <v>190</v>
      </c>
      <c r="F910" s="2">
        <v>110</v>
      </c>
      <c r="G910" s="21">
        <v>16.5</v>
      </c>
      <c r="H910" s="20"/>
      <c r="I910" s="20"/>
      <c r="J910" s="20"/>
      <c r="K910" s="89"/>
      <c r="L910" s="767"/>
      <c r="M910" s="20"/>
      <c r="N910" s="20"/>
      <c r="O910" s="20"/>
      <c r="P910" s="20"/>
      <c r="Q910" s="21"/>
      <c r="R910" s="22" t="s">
        <v>16</v>
      </c>
      <c r="S910" s="22">
        <v>2</v>
      </c>
      <c r="T910" s="25">
        <v>5228</v>
      </c>
      <c r="U910" s="22">
        <v>0</v>
      </c>
      <c r="V910" s="20" t="str">
        <f t="shared" si="82"/>
        <v>K-1100x190x100</v>
      </c>
    </row>
    <row r="911" spans="1:22" ht="15">
      <c r="A911" s="88" t="s">
        <v>262</v>
      </c>
      <c r="B911" s="76" t="s">
        <v>2167</v>
      </c>
      <c r="C911" s="2">
        <v>1150</v>
      </c>
      <c r="D911" s="2">
        <v>100</v>
      </c>
      <c r="E911" s="2">
        <v>168</v>
      </c>
      <c r="F911" s="2">
        <v>132</v>
      </c>
      <c r="G911" s="21">
        <v>17.25</v>
      </c>
      <c r="H911" s="20"/>
      <c r="I911" s="20"/>
      <c r="J911" s="20"/>
      <c r="K911" s="89"/>
      <c r="L911" s="767"/>
      <c r="M911" s="20"/>
      <c r="N911" s="20"/>
      <c r="O911" s="20"/>
      <c r="P911" s="20"/>
      <c r="Q911" s="21"/>
      <c r="R911" s="22" t="s">
        <v>16</v>
      </c>
      <c r="S911" s="22">
        <v>2</v>
      </c>
      <c r="T911" s="25">
        <v>10735</v>
      </c>
      <c r="U911" s="22">
        <v>0</v>
      </c>
      <c r="V911" s="20" t="str">
        <f t="shared" si="82"/>
        <v>K-1150x168x100</v>
      </c>
    </row>
    <row r="912" spans="1:22" ht="15">
      <c r="A912" s="88" t="s">
        <v>263</v>
      </c>
      <c r="B912" s="76" t="s">
        <v>2167</v>
      </c>
      <c r="C912" s="2">
        <v>1150</v>
      </c>
      <c r="D912" s="2">
        <v>100</v>
      </c>
      <c r="E912" s="2">
        <v>190</v>
      </c>
      <c r="F912" s="2">
        <v>110</v>
      </c>
      <c r="G912" s="21">
        <v>17.25</v>
      </c>
      <c r="H912" s="20"/>
      <c r="I912" s="20"/>
      <c r="J912" s="20"/>
      <c r="K912" s="89"/>
      <c r="L912" s="767"/>
      <c r="M912" s="20"/>
      <c r="N912" s="20"/>
      <c r="O912" s="20"/>
      <c r="P912" s="20"/>
      <c r="Q912" s="21"/>
      <c r="R912" s="22" t="s">
        <v>16</v>
      </c>
      <c r="S912" s="22">
        <v>2</v>
      </c>
      <c r="T912" s="25">
        <v>5466</v>
      </c>
      <c r="U912" s="22">
        <v>0</v>
      </c>
      <c r="V912" s="20" t="str">
        <f t="shared" si="82"/>
        <v>K-1150x190x100</v>
      </c>
    </row>
    <row r="913" spans="1:22" ht="14.25" customHeight="1">
      <c r="A913" s="88" t="s">
        <v>264</v>
      </c>
      <c r="B913" s="76" t="s">
        <v>2167</v>
      </c>
      <c r="C913" s="2">
        <v>1200</v>
      </c>
      <c r="D913" s="2">
        <v>100</v>
      </c>
      <c r="E913" s="2">
        <v>168</v>
      </c>
      <c r="F913" s="2">
        <v>132</v>
      </c>
      <c r="G913" s="21">
        <v>18</v>
      </c>
      <c r="H913" s="20"/>
      <c r="I913" s="20"/>
      <c r="J913" s="20"/>
      <c r="K913" s="89"/>
      <c r="L913" s="767"/>
      <c r="M913" s="20"/>
      <c r="N913" s="20"/>
      <c r="O913" s="20"/>
      <c r="P913" s="20"/>
      <c r="Q913" s="21"/>
      <c r="R913" s="22" t="s">
        <v>16</v>
      </c>
      <c r="S913" s="22">
        <v>2</v>
      </c>
      <c r="T913" s="25">
        <v>11201</v>
      </c>
      <c r="U913" s="22">
        <v>0</v>
      </c>
      <c r="V913" s="20" t="str">
        <f t="shared" si="82"/>
        <v>K-1200x168x100</v>
      </c>
    </row>
    <row r="914" spans="1:22" ht="15">
      <c r="A914" s="88" t="s">
        <v>265</v>
      </c>
      <c r="B914" s="76" t="s">
        <v>2167</v>
      </c>
      <c r="C914" s="2">
        <v>1200</v>
      </c>
      <c r="D914" s="2">
        <v>100</v>
      </c>
      <c r="E914" s="2">
        <v>190</v>
      </c>
      <c r="F914" s="2">
        <v>110</v>
      </c>
      <c r="G914" s="21">
        <v>18</v>
      </c>
      <c r="H914" s="20"/>
      <c r="I914" s="20"/>
      <c r="J914" s="20"/>
      <c r="K914" s="89"/>
      <c r="L914" s="767"/>
      <c r="M914" s="20"/>
      <c r="N914" s="20"/>
      <c r="O914" s="20"/>
      <c r="P914" s="20"/>
      <c r="Q914" s="21"/>
      <c r="R914" s="22" t="s">
        <v>16</v>
      </c>
      <c r="S914" s="22">
        <v>2</v>
      </c>
      <c r="T914" s="25">
        <v>5703</v>
      </c>
      <c r="U914" s="22">
        <v>0</v>
      </c>
      <c r="V914" s="20" t="str">
        <f t="shared" ref="V914:V943" si="83">B914&amp;"-"&amp;C914&amp;"x"&amp;E914&amp;"x"&amp;D914</f>
        <v>K-1200x190x100</v>
      </c>
    </row>
    <row r="915" spans="1:22" ht="15">
      <c r="A915" s="88" t="s">
        <v>266</v>
      </c>
      <c r="B915" s="76" t="s">
        <v>2167</v>
      </c>
      <c r="C915" s="2">
        <v>230</v>
      </c>
      <c r="D915" s="2">
        <v>100</v>
      </c>
      <c r="E915" s="2">
        <v>115</v>
      </c>
      <c r="F915" s="2">
        <v>85</v>
      </c>
      <c r="G915" s="21">
        <v>2.2999999999999998</v>
      </c>
      <c r="H915" s="20"/>
      <c r="I915" s="20"/>
      <c r="J915" s="20"/>
      <c r="K915" s="89"/>
      <c r="L915" s="767"/>
      <c r="M915" s="20"/>
      <c r="N915" s="20"/>
      <c r="O915" s="20"/>
      <c r="P915" s="20"/>
      <c r="Q915" s="21"/>
      <c r="R915" s="22" t="s">
        <v>16</v>
      </c>
      <c r="S915" s="22">
        <v>2</v>
      </c>
      <c r="T915" s="25">
        <v>1767</v>
      </c>
      <c r="U915" s="22">
        <v>0</v>
      </c>
      <c r="V915" s="20" t="str">
        <f t="shared" si="83"/>
        <v>K-230x115x100</v>
      </c>
    </row>
    <row r="916" spans="1:22" ht="14.25" customHeight="1">
      <c r="A916" s="88" t="s">
        <v>267</v>
      </c>
      <c r="B916" s="76" t="s">
        <v>2167</v>
      </c>
      <c r="C916" s="2">
        <v>230</v>
      </c>
      <c r="D916" s="2">
        <v>100</v>
      </c>
      <c r="E916" s="2" t="s">
        <v>277</v>
      </c>
      <c r="F916" s="2" t="s">
        <v>278</v>
      </c>
      <c r="G916" s="21">
        <v>2.5880000000000001</v>
      </c>
      <c r="H916" s="20"/>
      <c r="I916" s="20"/>
      <c r="J916" s="20"/>
      <c r="K916" s="89"/>
      <c r="L916" s="767"/>
      <c r="M916" s="20"/>
      <c r="N916" s="20"/>
      <c r="O916" s="20"/>
      <c r="P916" s="20"/>
      <c r="Q916" s="21"/>
      <c r="R916" s="22" t="s">
        <v>16</v>
      </c>
      <c r="S916" s="22">
        <v>2</v>
      </c>
      <c r="T916" s="25">
        <v>1959</v>
      </c>
      <c r="U916" s="22">
        <v>0</v>
      </c>
      <c r="V916" s="20" t="str">
        <f t="shared" si="83"/>
        <v>K-230x127.5x100</v>
      </c>
    </row>
    <row r="917" spans="1:22" ht="15">
      <c r="A917" s="88" t="s">
        <v>268</v>
      </c>
      <c r="B917" s="76" t="s">
        <v>2167</v>
      </c>
      <c r="C917" s="2">
        <v>250</v>
      </c>
      <c r="D917" s="2">
        <v>100</v>
      </c>
      <c r="E917" s="2">
        <v>79</v>
      </c>
      <c r="F917" s="2">
        <v>71</v>
      </c>
      <c r="G917" s="21">
        <v>1.875</v>
      </c>
      <c r="H917" s="20"/>
      <c r="I917" s="20"/>
      <c r="J917" s="20"/>
      <c r="K917" s="89"/>
      <c r="L917" s="767"/>
      <c r="M917" s="20"/>
      <c r="N917" s="20"/>
      <c r="O917" s="20"/>
      <c r="P917" s="20"/>
      <c r="Q917" s="21"/>
      <c r="R917" s="22" t="s">
        <v>16</v>
      </c>
      <c r="S917" s="22">
        <v>2</v>
      </c>
      <c r="T917" s="25">
        <v>4938</v>
      </c>
      <c r="U917" s="22">
        <v>0</v>
      </c>
      <c r="V917" s="20" t="str">
        <f t="shared" si="83"/>
        <v>K-250x79x100</v>
      </c>
    </row>
    <row r="918" spans="1:22" ht="15">
      <c r="A918" s="88" t="s">
        <v>269</v>
      </c>
      <c r="B918" s="76" t="s">
        <v>2167</v>
      </c>
      <c r="C918" s="2">
        <v>250</v>
      </c>
      <c r="D918" s="2">
        <v>100</v>
      </c>
      <c r="E918" s="2">
        <v>115</v>
      </c>
      <c r="F918" s="2">
        <v>85</v>
      </c>
      <c r="G918" s="21">
        <v>2.5</v>
      </c>
      <c r="H918" s="20"/>
      <c r="I918" s="20"/>
      <c r="J918" s="20"/>
      <c r="K918" s="89"/>
      <c r="L918" s="767"/>
      <c r="M918" s="20"/>
      <c r="N918" s="20"/>
      <c r="O918" s="20"/>
      <c r="P918" s="20"/>
      <c r="Q918" s="21"/>
      <c r="R918" s="22" t="s">
        <v>16</v>
      </c>
      <c r="S918" s="22">
        <v>2</v>
      </c>
      <c r="T918" s="25">
        <v>1920</v>
      </c>
      <c r="U918" s="22">
        <v>0</v>
      </c>
      <c r="V918" s="20" t="str">
        <f t="shared" si="83"/>
        <v>K-250x115x100</v>
      </c>
    </row>
    <row r="919" spans="1:22" ht="14.25" customHeight="1">
      <c r="A919" s="88" t="s">
        <v>270</v>
      </c>
      <c r="B919" s="76" t="s">
        <v>2167</v>
      </c>
      <c r="C919" s="2">
        <v>250</v>
      </c>
      <c r="D919" s="2">
        <v>100</v>
      </c>
      <c r="E919" s="2" t="s">
        <v>277</v>
      </c>
      <c r="F919" s="2" t="s">
        <v>278</v>
      </c>
      <c r="G919" s="21">
        <v>2.8130000000000002</v>
      </c>
      <c r="H919" s="20"/>
      <c r="I919" s="20"/>
      <c r="J919" s="20"/>
      <c r="K919" s="89"/>
      <c r="L919" s="767"/>
      <c r="M919" s="20"/>
      <c r="N919" s="20"/>
      <c r="O919" s="20"/>
      <c r="P919" s="20"/>
      <c r="Q919" s="21"/>
      <c r="R919" s="22" t="s">
        <v>16</v>
      </c>
      <c r="S919" s="22">
        <v>2</v>
      </c>
      <c r="T919" s="25">
        <v>2129</v>
      </c>
      <c r="U919" s="22">
        <v>0</v>
      </c>
      <c r="V919" s="20" t="str">
        <f t="shared" si="83"/>
        <v>K-250x127.5x100</v>
      </c>
    </row>
    <row r="920" spans="1:22" ht="15">
      <c r="A920" s="88" t="s">
        <v>271</v>
      </c>
      <c r="B920" s="76" t="s">
        <v>2167</v>
      </c>
      <c r="C920" s="2">
        <v>350</v>
      </c>
      <c r="D920" s="2">
        <v>100</v>
      </c>
      <c r="E920" s="2" t="s">
        <v>277</v>
      </c>
      <c r="F920" s="2" t="s">
        <v>278</v>
      </c>
      <c r="G920" s="21">
        <v>3.9380000000000002</v>
      </c>
      <c r="H920" s="20"/>
      <c r="I920" s="20"/>
      <c r="J920" s="20"/>
      <c r="K920" s="89"/>
      <c r="L920" s="767"/>
      <c r="M920" s="20"/>
      <c r="N920" s="20"/>
      <c r="O920" s="20"/>
      <c r="P920" s="20"/>
      <c r="Q920" s="21"/>
      <c r="R920" s="22" t="s">
        <v>16</v>
      </c>
      <c r="S920" s="22">
        <v>2</v>
      </c>
      <c r="T920" s="25">
        <v>2978</v>
      </c>
      <c r="U920" s="22">
        <v>0</v>
      </c>
      <c r="V920" s="20" t="str">
        <f t="shared" si="83"/>
        <v>K-350x127.5x100</v>
      </c>
    </row>
    <row r="921" spans="1:22" ht="15">
      <c r="A921" s="88" t="s">
        <v>272</v>
      </c>
      <c r="B921" s="76" t="s">
        <v>2167</v>
      </c>
      <c r="C921" s="2">
        <v>500</v>
      </c>
      <c r="D921" s="2">
        <v>100</v>
      </c>
      <c r="E921" s="2">
        <v>79</v>
      </c>
      <c r="F921" s="2">
        <v>71</v>
      </c>
      <c r="G921" s="21">
        <v>3.75</v>
      </c>
      <c r="H921" s="20"/>
      <c r="I921" s="20"/>
      <c r="J921" s="20"/>
      <c r="K921" s="89"/>
      <c r="L921" s="767"/>
      <c r="M921" s="20"/>
      <c r="N921" s="20"/>
      <c r="O921" s="20"/>
      <c r="P921" s="20"/>
      <c r="Q921" s="21"/>
      <c r="R921" s="22" t="s">
        <v>16</v>
      </c>
      <c r="S921" s="22">
        <v>2</v>
      </c>
      <c r="T921" s="25">
        <v>9875</v>
      </c>
      <c r="U921" s="22">
        <v>0</v>
      </c>
      <c r="V921" s="20" t="str">
        <f t="shared" si="83"/>
        <v>K-500x79x100</v>
      </c>
    </row>
    <row r="922" spans="1:22" ht="15">
      <c r="A922" s="88" t="s">
        <v>273</v>
      </c>
      <c r="B922" s="76" t="s">
        <v>2167</v>
      </c>
      <c r="C922" s="2">
        <v>550</v>
      </c>
      <c r="D922" s="2">
        <v>100</v>
      </c>
      <c r="E922" s="2">
        <v>150</v>
      </c>
      <c r="F922" s="2">
        <v>90</v>
      </c>
      <c r="G922" s="21">
        <v>6.6</v>
      </c>
      <c r="H922" s="20"/>
      <c r="I922" s="20"/>
      <c r="J922" s="20"/>
      <c r="K922" s="89"/>
      <c r="L922" s="767"/>
      <c r="M922" s="20"/>
      <c r="N922" s="20"/>
      <c r="O922" s="20"/>
      <c r="P922" s="20"/>
      <c r="Q922" s="21"/>
      <c r="R922" s="22" t="s">
        <v>16</v>
      </c>
      <c r="S922" s="22">
        <v>2</v>
      </c>
      <c r="T922" s="25">
        <v>2754</v>
      </c>
      <c r="U922" s="22">
        <v>0</v>
      </c>
      <c r="V922" s="20" t="str">
        <f t="shared" si="83"/>
        <v>K-550x150x100</v>
      </c>
    </row>
    <row r="923" spans="1:22" ht="15">
      <c r="A923" s="88" t="s">
        <v>274</v>
      </c>
      <c r="B923" s="76" t="s">
        <v>2167</v>
      </c>
      <c r="C923" s="2">
        <v>600</v>
      </c>
      <c r="D923" s="2">
        <v>100</v>
      </c>
      <c r="E923" s="2">
        <v>79</v>
      </c>
      <c r="F923" s="2">
        <v>71</v>
      </c>
      <c r="G923" s="21">
        <v>4.5</v>
      </c>
      <c r="H923" s="20"/>
      <c r="I923" s="20"/>
      <c r="J923" s="20"/>
      <c r="K923" s="89"/>
      <c r="L923" s="767"/>
      <c r="M923" s="20"/>
      <c r="N923" s="20"/>
      <c r="O923" s="20"/>
      <c r="P923" s="20"/>
      <c r="Q923" s="21"/>
      <c r="R923" s="22" t="s">
        <v>16</v>
      </c>
      <c r="S923" s="22">
        <v>2</v>
      </c>
      <c r="T923" s="25">
        <v>11850</v>
      </c>
      <c r="U923" s="22">
        <v>0</v>
      </c>
      <c r="V923" s="20" t="str">
        <f t="shared" si="83"/>
        <v>K-600x79x100</v>
      </c>
    </row>
    <row r="924" spans="1:22" ht="14.25" customHeight="1">
      <c r="A924" s="88" t="s">
        <v>275</v>
      </c>
      <c r="B924" s="76" t="s">
        <v>2167</v>
      </c>
      <c r="C924" s="2">
        <v>600</v>
      </c>
      <c r="D924" s="2">
        <v>100</v>
      </c>
      <c r="E924" s="2">
        <v>130</v>
      </c>
      <c r="F924" s="2">
        <v>70</v>
      </c>
      <c r="G924" s="21">
        <v>6</v>
      </c>
      <c r="H924" s="20"/>
      <c r="I924" s="20"/>
      <c r="J924" s="20"/>
      <c r="K924" s="89"/>
      <c r="L924" s="767"/>
      <c r="M924" s="20"/>
      <c r="N924" s="20"/>
      <c r="O924" s="20"/>
      <c r="P924" s="20"/>
      <c r="Q924" s="21"/>
      <c r="R924" s="22" t="s">
        <v>16</v>
      </c>
      <c r="S924" s="22">
        <v>2</v>
      </c>
      <c r="T924" s="25">
        <v>2603</v>
      </c>
      <c r="U924" s="22">
        <v>0</v>
      </c>
      <c r="V924" s="20" t="str">
        <f t="shared" si="83"/>
        <v>K-600x130x100</v>
      </c>
    </row>
    <row r="925" spans="1:22" ht="15">
      <c r="A925" s="88" t="s">
        <v>276</v>
      </c>
      <c r="B925" s="76" t="s">
        <v>2167</v>
      </c>
      <c r="C925" s="2">
        <v>650</v>
      </c>
      <c r="D925" s="2">
        <v>100</v>
      </c>
      <c r="E925" s="2">
        <v>150</v>
      </c>
      <c r="F925" s="2">
        <v>90</v>
      </c>
      <c r="G925" s="21">
        <v>7.8</v>
      </c>
      <c r="H925" s="20"/>
      <c r="I925" s="20"/>
      <c r="J925" s="20"/>
      <c r="K925" s="89"/>
      <c r="L925" s="767"/>
      <c r="M925" s="20"/>
      <c r="N925" s="20"/>
      <c r="O925" s="20"/>
      <c r="P925" s="20"/>
      <c r="Q925" s="21"/>
      <c r="R925" s="22" t="s">
        <v>16</v>
      </c>
      <c r="S925" s="22">
        <v>2</v>
      </c>
      <c r="T925" s="25">
        <v>3253</v>
      </c>
      <c r="U925" s="22">
        <v>0</v>
      </c>
      <c r="V925" s="20" t="str">
        <f t="shared" si="83"/>
        <v>K-650x150x100</v>
      </c>
    </row>
    <row r="926" spans="1:22" ht="15">
      <c r="A926" s="88" t="s">
        <v>279</v>
      </c>
      <c r="B926" s="76" t="s">
        <v>2167</v>
      </c>
      <c r="C926" s="2">
        <v>700</v>
      </c>
      <c r="D926" s="2">
        <v>100</v>
      </c>
      <c r="E926" s="2">
        <v>142</v>
      </c>
      <c r="F926" s="2">
        <v>82</v>
      </c>
      <c r="G926" s="21">
        <v>7.84</v>
      </c>
      <c r="H926" s="20"/>
      <c r="I926" s="20"/>
      <c r="J926" s="20"/>
      <c r="K926" s="89"/>
      <c r="L926" s="767"/>
      <c r="M926" s="20"/>
      <c r="N926" s="20"/>
      <c r="O926" s="20"/>
      <c r="P926" s="20"/>
      <c r="Q926" s="21"/>
      <c r="R926" s="22" t="s">
        <v>16</v>
      </c>
      <c r="S926" s="22">
        <v>2</v>
      </c>
      <c r="T926" s="25">
        <v>3316</v>
      </c>
      <c r="U926" s="22">
        <v>0</v>
      </c>
      <c r="V926" s="20" t="str">
        <f t="shared" si="83"/>
        <v>K-700x142x100</v>
      </c>
    </row>
    <row r="927" spans="1:22" ht="14.25" customHeight="1">
      <c r="A927" s="88" t="s">
        <v>280</v>
      </c>
      <c r="B927" s="76" t="s">
        <v>2167</v>
      </c>
      <c r="C927" s="2">
        <v>750</v>
      </c>
      <c r="D927" s="2">
        <v>100</v>
      </c>
      <c r="E927" s="2">
        <v>112</v>
      </c>
      <c r="F927" s="2">
        <v>88</v>
      </c>
      <c r="G927" s="21">
        <v>7.5</v>
      </c>
      <c r="H927" s="20"/>
      <c r="I927" s="20"/>
      <c r="J927" s="20"/>
      <c r="K927" s="89"/>
      <c r="L927" s="767"/>
      <c r="M927" s="20"/>
      <c r="N927" s="20"/>
      <c r="O927" s="20"/>
      <c r="P927" s="20"/>
      <c r="Q927" s="21"/>
      <c r="R927" s="22" t="s">
        <v>16</v>
      </c>
      <c r="S927" s="22">
        <v>2</v>
      </c>
      <c r="T927" s="25">
        <v>7001</v>
      </c>
      <c r="U927" s="22">
        <v>0</v>
      </c>
      <c r="V927" s="20" t="str">
        <f t="shared" si="83"/>
        <v>K-750x112x100</v>
      </c>
    </row>
    <row r="928" spans="1:22" ht="15">
      <c r="A928" s="88" t="s">
        <v>281</v>
      </c>
      <c r="B928" s="76" t="s">
        <v>2167</v>
      </c>
      <c r="C928" s="2">
        <v>750</v>
      </c>
      <c r="D928" s="2">
        <v>100</v>
      </c>
      <c r="E928" s="2">
        <v>126</v>
      </c>
      <c r="F928" s="2">
        <v>99</v>
      </c>
      <c r="G928" s="21">
        <v>8.4380000000000006</v>
      </c>
      <c r="H928" s="20"/>
      <c r="I928" s="20"/>
      <c r="J928" s="20"/>
      <c r="K928" s="89"/>
      <c r="L928" s="767"/>
      <c r="M928" s="20"/>
      <c r="N928" s="20"/>
      <c r="O928" s="20"/>
      <c r="P928" s="20"/>
      <c r="Q928" s="21"/>
      <c r="R928" s="22" t="s">
        <v>16</v>
      </c>
      <c r="S928" s="22">
        <v>2</v>
      </c>
      <c r="T928" s="25">
        <v>7001</v>
      </c>
      <c r="U928" s="22">
        <v>0</v>
      </c>
      <c r="V928" s="20" t="str">
        <f t="shared" si="83"/>
        <v>K-750x126x100</v>
      </c>
    </row>
    <row r="929" spans="1:22" ht="15">
      <c r="A929" s="88" t="s">
        <v>282</v>
      </c>
      <c r="B929" s="76" t="s">
        <v>2167</v>
      </c>
      <c r="C929" s="2">
        <v>750</v>
      </c>
      <c r="D929" s="2">
        <v>100</v>
      </c>
      <c r="E929" s="2">
        <v>150</v>
      </c>
      <c r="F929" s="2">
        <v>90</v>
      </c>
      <c r="G929" s="21">
        <v>9</v>
      </c>
      <c r="H929" s="20"/>
      <c r="I929" s="20"/>
      <c r="J929" s="20"/>
      <c r="K929" s="89"/>
      <c r="L929" s="767"/>
      <c r="M929" s="20"/>
      <c r="N929" s="20"/>
      <c r="O929" s="20"/>
      <c r="P929" s="20"/>
      <c r="Q929" s="21"/>
      <c r="R929" s="22" t="s">
        <v>16</v>
      </c>
      <c r="S929" s="22">
        <v>2</v>
      </c>
      <c r="T929" s="25">
        <v>3753</v>
      </c>
      <c r="U929" s="22">
        <v>0</v>
      </c>
      <c r="V929" s="20" t="str">
        <f t="shared" si="83"/>
        <v>K-750x150x100</v>
      </c>
    </row>
    <row r="930" spans="1:22" ht="14.25" customHeight="1">
      <c r="A930" s="88" t="s">
        <v>283</v>
      </c>
      <c r="B930" s="76" t="s">
        <v>2167</v>
      </c>
      <c r="C930" s="2">
        <v>800</v>
      </c>
      <c r="D930" s="2">
        <v>100</v>
      </c>
      <c r="E930" s="2">
        <v>107</v>
      </c>
      <c r="F930" s="2">
        <v>93</v>
      </c>
      <c r="G930" s="21">
        <v>8</v>
      </c>
      <c r="H930" s="20"/>
      <c r="I930" s="20"/>
      <c r="J930" s="20"/>
      <c r="K930" s="89"/>
      <c r="L930" s="767"/>
      <c r="M930" s="20"/>
      <c r="N930" s="20"/>
      <c r="O930" s="20"/>
      <c r="P930" s="20"/>
      <c r="Q930" s="21"/>
      <c r="R930" s="22" t="s">
        <v>16</v>
      </c>
      <c r="S930" s="22">
        <v>2</v>
      </c>
      <c r="T930" s="25">
        <v>12229</v>
      </c>
      <c r="U930" s="22">
        <v>0</v>
      </c>
      <c r="V930" s="20" t="str">
        <f t="shared" si="83"/>
        <v>K-800x107x100</v>
      </c>
    </row>
    <row r="931" spans="1:22" ht="15">
      <c r="A931" s="88" t="s">
        <v>284</v>
      </c>
      <c r="B931" s="76" t="s">
        <v>2167</v>
      </c>
      <c r="C931" s="2">
        <v>800</v>
      </c>
      <c r="D931" s="2">
        <v>100</v>
      </c>
      <c r="E931" s="2">
        <v>120</v>
      </c>
      <c r="F931" s="2">
        <v>105</v>
      </c>
      <c r="G931" s="21">
        <v>9</v>
      </c>
      <c r="H931" s="20"/>
      <c r="I931" s="20"/>
      <c r="J931" s="20"/>
      <c r="K931" s="89"/>
      <c r="L931" s="767"/>
      <c r="M931" s="20"/>
      <c r="N931" s="20"/>
      <c r="O931" s="20"/>
      <c r="P931" s="20"/>
      <c r="Q931" s="21"/>
      <c r="R931" s="22" t="s">
        <v>16</v>
      </c>
      <c r="S931" s="22">
        <v>2</v>
      </c>
      <c r="T931" s="25">
        <v>12801</v>
      </c>
      <c r="U931" s="22">
        <v>0</v>
      </c>
      <c r="V931" s="20" t="str">
        <f t="shared" si="83"/>
        <v>K-800x120x100</v>
      </c>
    </row>
    <row r="932" spans="1:22" ht="15">
      <c r="A932" s="88" t="s">
        <v>285</v>
      </c>
      <c r="B932" s="76" t="s">
        <v>2167</v>
      </c>
      <c r="C932" s="2">
        <v>800</v>
      </c>
      <c r="D932" s="2">
        <v>100</v>
      </c>
      <c r="E932" s="2">
        <v>112</v>
      </c>
      <c r="F932" s="2">
        <v>88</v>
      </c>
      <c r="G932" s="21">
        <v>8</v>
      </c>
      <c r="H932" s="20"/>
      <c r="I932" s="20"/>
      <c r="J932" s="20"/>
      <c r="K932" s="89"/>
      <c r="L932" s="767"/>
      <c r="M932" s="20"/>
      <c r="N932" s="20"/>
      <c r="O932" s="20"/>
      <c r="P932" s="20"/>
      <c r="Q932" s="21"/>
      <c r="R932" s="22" t="s">
        <v>16</v>
      </c>
      <c r="S932" s="22">
        <v>2</v>
      </c>
      <c r="T932" s="25">
        <v>7468</v>
      </c>
      <c r="U932" s="22">
        <v>0</v>
      </c>
      <c r="V932" s="20" t="str">
        <f t="shared" si="83"/>
        <v>K-800x112x100</v>
      </c>
    </row>
    <row r="933" spans="1:22" ht="14.25" customHeight="1">
      <c r="A933" s="88" t="s">
        <v>286</v>
      </c>
      <c r="B933" s="76" t="s">
        <v>2167</v>
      </c>
      <c r="C933" s="2">
        <v>800</v>
      </c>
      <c r="D933" s="2">
        <v>100</v>
      </c>
      <c r="E933" s="2">
        <v>126</v>
      </c>
      <c r="F933" s="2">
        <v>99</v>
      </c>
      <c r="G933" s="21">
        <v>9</v>
      </c>
      <c r="H933" s="20"/>
      <c r="I933" s="20"/>
      <c r="J933" s="20"/>
      <c r="K933" s="89"/>
      <c r="L933" s="767"/>
      <c r="M933" s="20"/>
      <c r="N933" s="20"/>
      <c r="O933" s="20"/>
      <c r="P933" s="20"/>
      <c r="Q933" s="21"/>
      <c r="R933" s="22" t="s">
        <v>16</v>
      </c>
      <c r="S933" s="22">
        <v>2</v>
      </c>
      <c r="T933" s="25">
        <v>7468</v>
      </c>
      <c r="U933" s="22">
        <v>0</v>
      </c>
      <c r="V933" s="20" t="str">
        <f t="shared" si="83"/>
        <v>K-800x126x100</v>
      </c>
    </row>
    <row r="934" spans="1:22" ht="15">
      <c r="A934" s="88" t="s">
        <v>287</v>
      </c>
      <c r="B934" s="76" t="s">
        <v>2167</v>
      </c>
      <c r="C934" s="2">
        <v>800</v>
      </c>
      <c r="D934" s="2">
        <v>100</v>
      </c>
      <c r="E934" s="2">
        <v>120</v>
      </c>
      <c r="F934" s="2">
        <v>80</v>
      </c>
      <c r="G934" s="21">
        <v>8</v>
      </c>
      <c r="H934" s="20"/>
      <c r="I934" s="20"/>
      <c r="J934" s="20"/>
      <c r="K934" s="89"/>
      <c r="L934" s="767"/>
      <c r="M934" s="20"/>
      <c r="N934" s="20"/>
      <c r="O934" s="20"/>
      <c r="P934" s="20"/>
      <c r="Q934" s="21"/>
      <c r="R934" s="22" t="s">
        <v>16</v>
      </c>
      <c r="S934" s="22">
        <v>2</v>
      </c>
      <c r="T934" s="25">
        <v>4801</v>
      </c>
      <c r="U934" s="22">
        <v>0</v>
      </c>
      <c r="V934" s="20" t="str">
        <f t="shared" si="83"/>
        <v>K-800x120x100</v>
      </c>
    </row>
    <row r="935" spans="1:22" ht="15">
      <c r="A935" s="88" t="s">
        <v>288</v>
      </c>
      <c r="B935" s="76" t="s">
        <v>2167</v>
      </c>
      <c r="C935" s="2">
        <v>900</v>
      </c>
      <c r="D935" s="2">
        <v>100</v>
      </c>
      <c r="E935" s="2">
        <v>136</v>
      </c>
      <c r="F935" s="2">
        <v>76</v>
      </c>
      <c r="G935" s="21">
        <v>9.5399999999999991</v>
      </c>
      <c r="H935" s="20"/>
      <c r="I935" s="20"/>
      <c r="J935" s="20"/>
      <c r="K935" s="89"/>
      <c r="L935" s="767"/>
      <c r="M935" s="20"/>
      <c r="N935" s="20"/>
      <c r="O935" s="20"/>
      <c r="P935" s="20"/>
      <c r="Q935" s="21"/>
      <c r="R935" s="22" t="s">
        <v>16</v>
      </c>
      <c r="S935" s="22">
        <v>2</v>
      </c>
      <c r="T935" s="25">
        <v>4082</v>
      </c>
      <c r="U935" s="22">
        <v>0</v>
      </c>
      <c r="V935" s="20" t="str">
        <f t="shared" si="83"/>
        <v>K-900x136x100</v>
      </c>
    </row>
    <row r="936" spans="1:22" ht="15">
      <c r="A936" s="88" t="s">
        <v>289</v>
      </c>
      <c r="B936" s="76" t="s">
        <v>2167</v>
      </c>
      <c r="C936" s="2">
        <v>400</v>
      </c>
      <c r="D936" s="2">
        <v>98</v>
      </c>
      <c r="E936" s="2">
        <v>156.80000000000001</v>
      </c>
      <c r="F936" s="2">
        <v>136.80000000000001</v>
      </c>
      <c r="G936" s="21">
        <v>5.7880000000000003</v>
      </c>
      <c r="H936" s="20"/>
      <c r="I936" s="20"/>
      <c r="J936" s="20"/>
      <c r="K936" s="89"/>
      <c r="L936" s="767"/>
      <c r="M936" s="20"/>
      <c r="N936" s="20"/>
      <c r="O936" s="20"/>
      <c r="P936" s="20"/>
      <c r="Q936" s="21"/>
      <c r="R936" s="22" t="s">
        <v>16</v>
      </c>
      <c r="S936" s="22">
        <v>2</v>
      </c>
      <c r="T936" s="25">
        <v>6274</v>
      </c>
      <c r="U936" s="22">
        <v>0</v>
      </c>
      <c r="V936" s="20" t="str">
        <f t="shared" si="83"/>
        <v>K-400x156,8x98</v>
      </c>
    </row>
    <row r="937" spans="1:22" ht="15">
      <c r="A937" s="88" t="s">
        <v>290</v>
      </c>
      <c r="B937" s="76" t="s">
        <v>2167</v>
      </c>
      <c r="C937" s="2">
        <v>950</v>
      </c>
      <c r="D937" s="2">
        <v>150</v>
      </c>
      <c r="E937" s="2">
        <v>150</v>
      </c>
      <c r="F937" s="2">
        <v>150</v>
      </c>
      <c r="G937" s="21">
        <v>21.38</v>
      </c>
      <c r="H937" s="20"/>
      <c r="I937" s="20"/>
      <c r="J937" s="20"/>
      <c r="K937" s="89"/>
      <c r="L937" s="767"/>
      <c r="M937" s="20"/>
      <c r="N937" s="20"/>
      <c r="O937" s="20"/>
      <c r="P937" s="20"/>
      <c r="Q937" s="21"/>
      <c r="R937" s="22" t="s">
        <v>16</v>
      </c>
      <c r="S937" s="22">
        <v>2</v>
      </c>
      <c r="T937" s="25" t="s">
        <v>16</v>
      </c>
      <c r="U937" s="22">
        <v>0</v>
      </c>
      <c r="V937" s="20" t="str">
        <f t="shared" si="83"/>
        <v>K-950x150x150</v>
      </c>
    </row>
    <row r="938" spans="1:22" ht="14.25" customHeight="1">
      <c r="A938" s="88" t="s">
        <v>291</v>
      </c>
      <c r="B938" s="76" t="s">
        <v>2167</v>
      </c>
      <c r="C938" s="2">
        <v>950</v>
      </c>
      <c r="D938" s="2">
        <v>150</v>
      </c>
      <c r="E938" s="2">
        <v>155</v>
      </c>
      <c r="F938" s="2">
        <v>145</v>
      </c>
      <c r="G938" s="21">
        <v>21.38</v>
      </c>
      <c r="H938" s="20"/>
      <c r="I938" s="20"/>
      <c r="J938" s="20"/>
      <c r="K938" s="89"/>
      <c r="L938" s="767"/>
      <c r="M938" s="20"/>
      <c r="N938" s="20"/>
      <c r="O938" s="20"/>
      <c r="P938" s="20"/>
      <c r="Q938" s="21"/>
      <c r="R938" s="22" t="s">
        <v>16</v>
      </c>
      <c r="S938" s="22">
        <v>2</v>
      </c>
      <c r="T938" s="25">
        <v>29450</v>
      </c>
      <c r="U938" s="22">
        <v>0</v>
      </c>
      <c r="V938" s="20" t="str">
        <f t="shared" si="83"/>
        <v>K-950x155x150</v>
      </c>
    </row>
    <row r="939" spans="1:22" ht="15">
      <c r="A939" s="88" t="s">
        <v>292</v>
      </c>
      <c r="B939" s="76" t="s">
        <v>2167</v>
      </c>
      <c r="C939" s="2">
        <v>950</v>
      </c>
      <c r="D939" s="2">
        <v>150</v>
      </c>
      <c r="E939" s="2">
        <v>175</v>
      </c>
      <c r="F939" s="2">
        <v>125</v>
      </c>
      <c r="G939" s="21">
        <v>21.38</v>
      </c>
      <c r="H939" s="20"/>
      <c r="I939" s="20"/>
      <c r="J939" s="20"/>
      <c r="K939" s="89"/>
      <c r="L939" s="767"/>
      <c r="M939" s="20"/>
      <c r="N939" s="20"/>
      <c r="O939" s="20"/>
      <c r="P939" s="20"/>
      <c r="Q939" s="21"/>
      <c r="R939" s="22" t="s">
        <v>16</v>
      </c>
      <c r="S939" s="22">
        <v>2</v>
      </c>
      <c r="T939" s="25">
        <v>6652</v>
      </c>
      <c r="U939" s="22">
        <v>0</v>
      </c>
      <c r="V939" s="20" t="str">
        <f t="shared" si="83"/>
        <v>K-950x175x150</v>
      </c>
    </row>
    <row r="940" spans="1:22" ht="15">
      <c r="A940" s="88" t="s">
        <v>293</v>
      </c>
      <c r="B940" s="76" t="s">
        <v>2167</v>
      </c>
      <c r="C940" s="2">
        <v>1050</v>
      </c>
      <c r="D940" s="2">
        <v>150</v>
      </c>
      <c r="E940" s="2">
        <v>160</v>
      </c>
      <c r="F940" s="2">
        <v>140</v>
      </c>
      <c r="G940" s="21">
        <v>23.63</v>
      </c>
      <c r="H940" s="20"/>
      <c r="I940" s="20"/>
      <c r="J940" s="20"/>
      <c r="K940" s="89"/>
      <c r="L940" s="767"/>
      <c r="M940" s="20"/>
      <c r="N940" s="20"/>
      <c r="O940" s="20"/>
      <c r="P940" s="20"/>
      <c r="Q940" s="21"/>
      <c r="R940" s="22" t="s">
        <v>16</v>
      </c>
      <c r="S940" s="22">
        <v>2</v>
      </c>
      <c r="T940" s="25">
        <v>16801</v>
      </c>
      <c r="U940" s="22">
        <v>0</v>
      </c>
      <c r="V940" s="20" t="str">
        <f t="shared" si="83"/>
        <v>K-1050x160x150</v>
      </c>
    </row>
    <row r="941" spans="1:22" ht="14.25" customHeight="1">
      <c r="A941" s="88" t="s">
        <v>294</v>
      </c>
      <c r="B941" s="76" t="s">
        <v>2167</v>
      </c>
      <c r="C941" s="2">
        <v>1050</v>
      </c>
      <c r="D941" s="2">
        <v>150</v>
      </c>
      <c r="E941" s="2">
        <v>180</v>
      </c>
      <c r="F941" s="2">
        <v>120</v>
      </c>
      <c r="G941" s="21">
        <v>23.63</v>
      </c>
      <c r="H941" s="20"/>
      <c r="I941" s="20"/>
      <c r="J941" s="20"/>
      <c r="K941" s="89"/>
      <c r="L941" s="767"/>
      <c r="M941" s="20"/>
      <c r="N941" s="20"/>
      <c r="O941" s="20"/>
      <c r="P941" s="20"/>
      <c r="Q941" s="21"/>
      <c r="R941" s="22" t="s">
        <v>16</v>
      </c>
      <c r="S941" s="22">
        <v>2</v>
      </c>
      <c r="T941" s="25">
        <v>6303</v>
      </c>
      <c r="U941" s="22">
        <v>0</v>
      </c>
      <c r="V941" s="20" t="str">
        <f t="shared" si="83"/>
        <v>K-1050x180x150</v>
      </c>
    </row>
    <row r="942" spans="1:22" ht="15">
      <c r="A942" s="88" t="s">
        <v>295</v>
      </c>
      <c r="B942" s="76" t="s">
        <v>2167</v>
      </c>
      <c r="C942" s="2">
        <v>1150</v>
      </c>
      <c r="D942" s="2">
        <v>150</v>
      </c>
      <c r="E942" s="2">
        <v>160</v>
      </c>
      <c r="F942" s="2">
        <v>140</v>
      </c>
      <c r="G942" s="21">
        <v>25.58</v>
      </c>
      <c r="H942" s="20"/>
      <c r="I942" s="20"/>
      <c r="J942" s="20"/>
      <c r="K942" s="89"/>
      <c r="L942" s="767"/>
      <c r="M942" s="20"/>
      <c r="N942" s="20"/>
      <c r="O942" s="20"/>
      <c r="P942" s="20"/>
      <c r="Q942" s="21"/>
      <c r="R942" s="22" t="s">
        <v>16</v>
      </c>
      <c r="S942" s="22">
        <v>2</v>
      </c>
      <c r="T942" s="25">
        <v>18401</v>
      </c>
      <c r="U942" s="22">
        <v>0</v>
      </c>
      <c r="V942" s="20" t="str">
        <f t="shared" si="83"/>
        <v>K-1150x160x150</v>
      </c>
    </row>
    <row r="943" spans="1:22" ht="15.6" thickBot="1">
      <c r="A943" s="90" t="s">
        <v>296</v>
      </c>
      <c r="B943" s="80" t="s">
        <v>2167</v>
      </c>
      <c r="C943" s="81">
        <v>1150</v>
      </c>
      <c r="D943" s="81">
        <v>150</v>
      </c>
      <c r="E943" s="81">
        <v>180</v>
      </c>
      <c r="F943" s="81">
        <v>120</v>
      </c>
      <c r="G943" s="103">
        <v>25.58</v>
      </c>
      <c r="H943" s="82"/>
      <c r="I943" s="82"/>
      <c r="J943" s="82"/>
      <c r="K943" s="91"/>
      <c r="L943" s="768"/>
      <c r="M943" s="20"/>
      <c r="N943" s="20"/>
      <c r="O943" s="20"/>
      <c r="P943" s="20"/>
      <c r="Q943" s="21"/>
      <c r="R943" s="22" t="s">
        <v>16</v>
      </c>
      <c r="S943" s="22">
        <v>2</v>
      </c>
      <c r="T943" s="25">
        <v>6902</v>
      </c>
      <c r="U943" s="22">
        <v>0</v>
      </c>
      <c r="V943" s="20" t="str">
        <f t="shared" si="83"/>
        <v>K-1150x180x150</v>
      </c>
    </row>
    <row r="944" spans="1:22" ht="13.8" thickBot="1">
      <c r="A944" s="80"/>
      <c r="B944" s="81"/>
      <c r="C944" s="81"/>
      <c r="D944" s="81"/>
      <c r="E944" s="81"/>
      <c r="F944" s="81"/>
      <c r="G944" s="103"/>
      <c r="H944" s="82"/>
      <c r="I944" s="82"/>
      <c r="J944" s="82"/>
      <c r="K944" s="82"/>
      <c r="L944" s="358"/>
      <c r="M944" s="20"/>
      <c r="N944" s="20"/>
      <c r="O944" s="20"/>
      <c r="P944" s="20"/>
      <c r="Q944" s="21"/>
      <c r="R944" s="22"/>
      <c r="S944" s="22"/>
      <c r="T944" s="20"/>
      <c r="U944" s="22"/>
      <c r="V944" s="20"/>
    </row>
    <row r="945" spans="1:22" ht="25.2" thickBot="1">
      <c r="A945" s="64" t="s">
        <v>645</v>
      </c>
      <c r="B945" s="72"/>
      <c r="C945" s="73"/>
      <c r="D945" s="73"/>
      <c r="E945" s="73"/>
      <c r="F945" s="73"/>
      <c r="G945" s="104"/>
      <c r="H945" s="73"/>
      <c r="I945" s="73"/>
      <c r="J945" s="73"/>
      <c r="K945" s="73"/>
      <c r="L945" s="93"/>
      <c r="M945" s="20"/>
      <c r="N945" s="20"/>
      <c r="O945" s="20"/>
      <c r="P945" s="20"/>
      <c r="Q945" s="21"/>
      <c r="R945" s="22"/>
      <c r="S945" s="22"/>
      <c r="T945" s="20"/>
      <c r="U945" s="22"/>
      <c r="V945" s="20"/>
    </row>
    <row r="946" spans="1:22" ht="15" customHeight="1">
      <c r="A946" s="85" t="s">
        <v>683</v>
      </c>
      <c r="B946" s="545" t="s">
        <v>2167</v>
      </c>
      <c r="C946" s="77">
        <v>101.6</v>
      </c>
      <c r="D946" s="77">
        <v>100</v>
      </c>
      <c r="E946" s="77">
        <v>155</v>
      </c>
      <c r="F946" s="77">
        <v>145</v>
      </c>
      <c r="G946" s="86">
        <v>1.53</v>
      </c>
      <c r="H946" s="78"/>
      <c r="I946" s="78"/>
      <c r="J946" s="78"/>
      <c r="K946" s="87"/>
      <c r="L946" s="766" t="s">
        <v>653</v>
      </c>
      <c r="M946" s="20"/>
      <c r="N946" s="20"/>
      <c r="O946" s="20"/>
      <c r="P946" s="20"/>
      <c r="Q946" s="21"/>
      <c r="R946" s="22" t="s">
        <v>16</v>
      </c>
      <c r="S946" s="22">
        <v>2</v>
      </c>
      <c r="T946" s="25" t="s">
        <v>115</v>
      </c>
      <c r="U946" s="22">
        <v>0</v>
      </c>
      <c r="V946" s="20" t="str">
        <f t="shared" ref="V946:V959" si="84">B946&amp;"-"&amp;C946&amp;"x"&amp;E946&amp;"x"&amp;D946</f>
        <v>K-101,6x155x100</v>
      </c>
    </row>
    <row r="947" spans="1:22" ht="15">
      <c r="A947" s="88" t="s">
        <v>684</v>
      </c>
      <c r="B947" s="76" t="s">
        <v>2167</v>
      </c>
      <c r="C947" s="2">
        <v>101.6</v>
      </c>
      <c r="D947" s="2">
        <v>100</v>
      </c>
      <c r="E947" s="2">
        <v>165</v>
      </c>
      <c r="F947" s="2">
        <v>135</v>
      </c>
      <c r="G947" s="21">
        <v>1.53</v>
      </c>
      <c r="H947" s="20"/>
      <c r="I947" s="20"/>
      <c r="J947" s="20"/>
      <c r="K947" s="89"/>
      <c r="L947" s="767"/>
      <c r="M947" s="20"/>
      <c r="N947" s="20"/>
      <c r="O947" s="20"/>
      <c r="P947" s="20"/>
      <c r="Q947" s="21"/>
      <c r="R947" s="22" t="s">
        <v>16</v>
      </c>
      <c r="S947" s="22">
        <v>2</v>
      </c>
      <c r="T947" s="25" t="s">
        <v>116</v>
      </c>
      <c r="U947" s="22">
        <v>0</v>
      </c>
      <c r="V947" s="20" t="str">
        <f t="shared" si="84"/>
        <v>K-101,6x165x100</v>
      </c>
    </row>
    <row r="948" spans="1:22" ht="15">
      <c r="A948" s="88" t="s">
        <v>685</v>
      </c>
      <c r="B948" s="76" t="s">
        <v>2167</v>
      </c>
      <c r="C948" s="2">
        <v>127</v>
      </c>
      <c r="D948" s="2">
        <v>100</v>
      </c>
      <c r="E948" s="2">
        <v>150</v>
      </c>
      <c r="F948" s="2">
        <v>150</v>
      </c>
      <c r="G948" s="21">
        <v>1.905</v>
      </c>
      <c r="H948" s="20"/>
      <c r="I948" s="20"/>
      <c r="J948" s="20"/>
      <c r="K948" s="89"/>
      <c r="L948" s="767"/>
      <c r="M948" s="20"/>
      <c r="N948" s="20"/>
      <c r="O948" s="20"/>
      <c r="P948" s="20"/>
      <c r="Q948" s="21"/>
      <c r="R948" s="22" t="s">
        <v>16</v>
      </c>
      <c r="S948" s="22">
        <v>2</v>
      </c>
      <c r="T948" s="25" t="s">
        <v>16</v>
      </c>
      <c r="U948" s="22">
        <v>0</v>
      </c>
      <c r="V948" s="20" t="str">
        <f t="shared" si="84"/>
        <v>K-127x150x100</v>
      </c>
    </row>
    <row r="949" spans="1:22" ht="15">
      <c r="A949" s="88" t="s">
        <v>686</v>
      </c>
      <c r="B949" s="76" t="s">
        <v>2167</v>
      </c>
      <c r="C949" s="2">
        <v>127</v>
      </c>
      <c r="D949" s="2">
        <v>100</v>
      </c>
      <c r="E949" s="2">
        <v>153</v>
      </c>
      <c r="F949" s="2">
        <v>147</v>
      </c>
      <c r="G949" s="21">
        <v>1.905</v>
      </c>
      <c r="H949" s="20"/>
      <c r="I949" s="20"/>
      <c r="J949" s="20"/>
      <c r="K949" s="89"/>
      <c r="L949" s="767"/>
      <c r="M949" s="20"/>
      <c r="N949" s="20"/>
      <c r="O949" s="20"/>
      <c r="P949" s="20"/>
      <c r="Q949" s="21"/>
      <c r="R949" s="22" t="s">
        <v>16</v>
      </c>
      <c r="S949" s="22">
        <v>2</v>
      </c>
      <c r="T949" s="25">
        <v>6479</v>
      </c>
      <c r="U949" s="22">
        <v>0</v>
      </c>
      <c r="V949" s="20" t="str">
        <f t="shared" si="84"/>
        <v>K-127x153x100</v>
      </c>
    </row>
    <row r="950" spans="1:22" ht="15">
      <c r="A950" s="88" t="s">
        <v>687</v>
      </c>
      <c r="B950" s="76" t="s">
        <v>2167</v>
      </c>
      <c r="C950" s="2">
        <v>127</v>
      </c>
      <c r="D950" s="2">
        <v>100</v>
      </c>
      <c r="E950" s="2">
        <v>154</v>
      </c>
      <c r="F950" s="2">
        <v>146</v>
      </c>
      <c r="G950" s="21">
        <v>1.905</v>
      </c>
      <c r="H950" s="20"/>
      <c r="I950" s="20"/>
      <c r="J950" s="20"/>
      <c r="K950" s="89"/>
      <c r="L950" s="767"/>
      <c r="M950" s="20"/>
      <c r="N950" s="20"/>
      <c r="O950" s="20"/>
      <c r="P950" s="20"/>
      <c r="Q950" s="21"/>
      <c r="R950" s="22" t="s">
        <v>16</v>
      </c>
      <c r="S950" s="22">
        <v>2</v>
      </c>
      <c r="T950" s="25">
        <v>4892</v>
      </c>
      <c r="U950" s="22">
        <v>0</v>
      </c>
      <c r="V950" s="20" t="str">
        <f t="shared" si="84"/>
        <v>K-127x154x100</v>
      </c>
    </row>
    <row r="951" spans="1:22" ht="15">
      <c r="A951" s="88" t="s">
        <v>688</v>
      </c>
      <c r="B951" s="76" t="s">
        <v>2167</v>
      </c>
      <c r="C951" s="2">
        <v>127</v>
      </c>
      <c r="D951" s="2">
        <v>100</v>
      </c>
      <c r="E951" s="2">
        <v>160</v>
      </c>
      <c r="F951" s="2">
        <v>140</v>
      </c>
      <c r="G951" s="21">
        <v>1.905</v>
      </c>
      <c r="H951" s="20"/>
      <c r="I951" s="20"/>
      <c r="J951" s="20"/>
      <c r="K951" s="89"/>
      <c r="L951" s="767"/>
      <c r="M951" s="20"/>
      <c r="N951" s="20"/>
      <c r="O951" s="20"/>
      <c r="P951" s="20"/>
      <c r="Q951" s="21"/>
      <c r="R951" s="22" t="s">
        <v>16</v>
      </c>
      <c r="S951" s="22">
        <v>2</v>
      </c>
      <c r="T951" s="25">
        <v>2038</v>
      </c>
      <c r="U951" s="22">
        <v>0</v>
      </c>
      <c r="V951" s="20" t="str">
        <f t="shared" si="84"/>
        <v>K-127x160x100</v>
      </c>
    </row>
    <row r="952" spans="1:22" ht="15">
      <c r="A952" s="88" t="s">
        <v>689</v>
      </c>
      <c r="B952" s="76" t="s">
        <v>2167</v>
      </c>
      <c r="C952" s="2">
        <v>127</v>
      </c>
      <c r="D952" s="2">
        <v>100</v>
      </c>
      <c r="E952" s="2">
        <v>165</v>
      </c>
      <c r="F952" s="2">
        <v>135</v>
      </c>
      <c r="G952" s="21">
        <v>1.905</v>
      </c>
      <c r="H952" s="20"/>
      <c r="I952" s="20"/>
      <c r="J952" s="20"/>
      <c r="K952" s="89"/>
      <c r="L952" s="767"/>
      <c r="M952" s="20"/>
      <c r="N952" s="20"/>
      <c r="O952" s="20"/>
      <c r="P952" s="20"/>
      <c r="Q952" s="21"/>
      <c r="R952" s="22" t="s">
        <v>16</v>
      </c>
      <c r="S952" s="22">
        <v>2</v>
      </c>
      <c r="T952" s="25">
        <v>1407</v>
      </c>
      <c r="U952" s="22">
        <v>0</v>
      </c>
      <c r="V952" s="20" t="str">
        <f t="shared" si="84"/>
        <v>K-127x165x100</v>
      </c>
    </row>
    <row r="953" spans="1:22" ht="15">
      <c r="A953" s="88" t="s">
        <v>690</v>
      </c>
      <c r="B953" s="76" t="s">
        <v>2167</v>
      </c>
      <c r="C953" s="2">
        <v>127</v>
      </c>
      <c r="D953" s="2">
        <v>100</v>
      </c>
      <c r="E953" s="2">
        <v>166</v>
      </c>
      <c r="F953" s="2">
        <v>134</v>
      </c>
      <c r="G953" s="21">
        <v>1.905</v>
      </c>
      <c r="H953" s="20"/>
      <c r="I953" s="20"/>
      <c r="J953" s="20"/>
      <c r="K953" s="89"/>
      <c r="L953" s="767"/>
      <c r="M953" s="20"/>
      <c r="N953" s="20"/>
      <c r="O953" s="20"/>
      <c r="P953" s="20"/>
      <c r="Q953" s="21"/>
      <c r="R953" s="22" t="s">
        <v>16</v>
      </c>
      <c r="S953" s="22">
        <v>2</v>
      </c>
      <c r="T953" s="25">
        <v>1328</v>
      </c>
      <c r="U953" s="22">
        <v>0</v>
      </c>
      <c r="V953" s="20" t="str">
        <f t="shared" si="84"/>
        <v>K-127x166x100</v>
      </c>
    </row>
    <row r="954" spans="1:22" ht="15">
      <c r="A954" s="88" t="s">
        <v>691</v>
      </c>
      <c r="B954" s="76" t="s">
        <v>2167</v>
      </c>
      <c r="C954" s="2">
        <v>127</v>
      </c>
      <c r="D954" s="2">
        <v>100</v>
      </c>
      <c r="E954" s="2">
        <v>170</v>
      </c>
      <c r="F954" s="2">
        <v>130</v>
      </c>
      <c r="G954" s="21">
        <v>1.905</v>
      </c>
      <c r="H954" s="20"/>
      <c r="I954" s="20"/>
      <c r="J954" s="20"/>
      <c r="K954" s="89"/>
      <c r="L954" s="767"/>
      <c r="M954" s="20"/>
      <c r="N954" s="20"/>
      <c r="O954" s="20"/>
      <c r="P954" s="20"/>
      <c r="Q954" s="21"/>
      <c r="R954" s="22" t="s">
        <v>16</v>
      </c>
      <c r="S954" s="22">
        <v>2</v>
      </c>
      <c r="T954" s="25">
        <v>1093</v>
      </c>
      <c r="U954" s="22">
        <v>0</v>
      </c>
      <c r="V954" s="20" t="str">
        <f t="shared" si="84"/>
        <v>K-127x170x100</v>
      </c>
    </row>
    <row r="955" spans="1:22" ht="15">
      <c r="A955" s="88" t="s">
        <v>692</v>
      </c>
      <c r="B955" s="76" t="s">
        <v>2167</v>
      </c>
      <c r="C955" s="2">
        <v>152</v>
      </c>
      <c r="D955" s="2">
        <v>100</v>
      </c>
      <c r="E955" s="2">
        <v>150</v>
      </c>
      <c r="F955" s="2">
        <v>150</v>
      </c>
      <c r="G955" s="21">
        <v>2.2799999999999998</v>
      </c>
      <c r="H955" s="20"/>
      <c r="I955" s="20"/>
      <c r="J955" s="20"/>
      <c r="K955" s="89"/>
      <c r="L955" s="767"/>
      <c r="M955" s="20"/>
      <c r="N955" s="20"/>
      <c r="O955" s="20"/>
      <c r="P955" s="20"/>
      <c r="Q955" s="21"/>
      <c r="R955" s="22" t="s">
        <v>16</v>
      </c>
      <c r="S955" s="22">
        <v>2</v>
      </c>
      <c r="T955" s="25" t="s">
        <v>16</v>
      </c>
      <c r="U955" s="22">
        <v>0</v>
      </c>
      <c r="V955" s="20" t="str">
        <f t="shared" si="84"/>
        <v>K-152x150x100</v>
      </c>
    </row>
    <row r="956" spans="1:22" ht="15">
      <c r="A956" s="88" t="s">
        <v>693</v>
      </c>
      <c r="B956" s="76" t="s">
        <v>2167</v>
      </c>
      <c r="C956" s="2">
        <v>152</v>
      </c>
      <c r="D956" s="2">
        <v>100</v>
      </c>
      <c r="E956" s="2">
        <v>152.69999999999999</v>
      </c>
      <c r="F956" s="2">
        <v>147.30000000000001</v>
      </c>
      <c r="G956" s="21">
        <v>2.2799999999999998</v>
      </c>
      <c r="H956" s="20"/>
      <c r="I956" s="20"/>
      <c r="J956" s="20"/>
      <c r="K956" s="89"/>
      <c r="L956" s="767"/>
      <c r="M956" s="20"/>
      <c r="N956" s="20"/>
      <c r="O956" s="20"/>
      <c r="P956" s="20"/>
      <c r="Q956" s="21"/>
      <c r="R956" s="22" t="s">
        <v>16</v>
      </c>
      <c r="S956" s="22">
        <v>2</v>
      </c>
      <c r="T956" s="25">
        <v>8598</v>
      </c>
      <c r="U956" s="22">
        <v>0</v>
      </c>
      <c r="V956" s="20" t="str">
        <f t="shared" si="84"/>
        <v>K-152x152,7x100</v>
      </c>
    </row>
    <row r="957" spans="1:22" ht="15">
      <c r="A957" s="88" t="s">
        <v>694</v>
      </c>
      <c r="B957" s="76" t="s">
        <v>2167</v>
      </c>
      <c r="C957" s="2">
        <v>152</v>
      </c>
      <c r="D957" s="2">
        <v>100</v>
      </c>
      <c r="E957" s="2">
        <v>154</v>
      </c>
      <c r="F957" s="2">
        <v>146</v>
      </c>
      <c r="G957" s="21">
        <v>2.2799999999999998</v>
      </c>
      <c r="H957" s="20"/>
      <c r="I957" s="20"/>
      <c r="J957" s="20"/>
      <c r="K957" s="89"/>
      <c r="L957" s="767"/>
      <c r="M957" s="20"/>
      <c r="N957" s="20"/>
      <c r="O957" s="20"/>
      <c r="P957" s="20"/>
      <c r="Q957" s="21"/>
      <c r="R957" s="22" t="s">
        <v>16</v>
      </c>
      <c r="S957" s="22">
        <v>2</v>
      </c>
      <c r="T957" s="25">
        <v>5854</v>
      </c>
      <c r="U957" s="22">
        <v>0</v>
      </c>
      <c r="V957" s="20" t="str">
        <f t="shared" si="84"/>
        <v>K-152x154x100</v>
      </c>
    </row>
    <row r="958" spans="1:22" ht="15">
      <c r="A958" s="88" t="s">
        <v>695</v>
      </c>
      <c r="B958" s="76" t="s">
        <v>2167</v>
      </c>
      <c r="C958" s="2">
        <v>152</v>
      </c>
      <c r="D958" s="2">
        <v>100</v>
      </c>
      <c r="E958" s="2">
        <v>155</v>
      </c>
      <c r="F958" s="2">
        <v>145</v>
      </c>
      <c r="G958" s="21">
        <v>2.2799999999999998</v>
      </c>
      <c r="H958" s="20"/>
      <c r="I958" s="20"/>
      <c r="J958" s="20"/>
      <c r="K958" s="89"/>
      <c r="L958" s="767"/>
      <c r="M958" s="20"/>
      <c r="N958" s="20"/>
      <c r="O958" s="20"/>
      <c r="P958" s="20"/>
      <c r="Q958" s="21"/>
      <c r="R958" s="22" t="s">
        <v>16</v>
      </c>
      <c r="S958" s="22">
        <v>2</v>
      </c>
      <c r="T958" s="25">
        <v>4715</v>
      </c>
      <c r="U958" s="22">
        <v>0</v>
      </c>
      <c r="V958" s="20" t="str">
        <f t="shared" si="84"/>
        <v>K-152x155x100</v>
      </c>
    </row>
    <row r="959" spans="1:22" ht="15">
      <c r="A959" s="88" t="s">
        <v>696</v>
      </c>
      <c r="B959" s="76" t="s">
        <v>2167</v>
      </c>
      <c r="C959" s="2">
        <v>152</v>
      </c>
      <c r="D959" s="2">
        <v>100</v>
      </c>
      <c r="E959" s="2">
        <v>156</v>
      </c>
      <c r="F959" s="2">
        <v>144</v>
      </c>
      <c r="G959" s="21">
        <v>2.2799999999999998</v>
      </c>
      <c r="H959" s="20"/>
      <c r="I959" s="20"/>
      <c r="J959" s="20"/>
      <c r="K959" s="89"/>
      <c r="L959" s="767"/>
      <c r="M959" s="20"/>
      <c r="N959" s="20"/>
      <c r="O959" s="20"/>
      <c r="P959" s="20"/>
      <c r="Q959" s="21"/>
      <c r="R959" s="22" t="s">
        <v>16</v>
      </c>
      <c r="S959" s="22">
        <v>2</v>
      </c>
      <c r="T959" s="25">
        <v>3955</v>
      </c>
      <c r="U959" s="22"/>
      <c r="V959" s="20" t="str">
        <f t="shared" si="84"/>
        <v>K-152x156x100</v>
      </c>
    </row>
    <row r="960" spans="1:22" ht="15">
      <c r="A960" s="88" t="s">
        <v>697</v>
      </c>
      <c r="B960" s="76" t="s">
        <v>2167</v>
      </c>
      <c r="C960" s="2">
        <v>152</v>
      </c>
      <c r="D960" s="2">
        <v>100</v>
      </c>
      <c r="E960" s="2">
        <v>156.5</v>
      </c>
      <c r="F960" s="2">
        <v>143.5</v>
      </c>
      <c r="G960" s="21">
        <v>2.2799999999999998</v>
      </c>
      <c r="H960" s="20"/>
      <c r="I960" s="20"/>
      <c r="J960" s="20"/>
      <c r="K960" s="89"/>
      <c r="L960" s="767"/>
      <c r="M960" s="20"/>
      <c r="N960" s="20"/>
      <c r="O960" s="20"/>
      <c r="P960" s="20"/>
      <c r="Q960" s="21"/>
      <c r="R960" s="22" t="s">
        <v>16</v>
      </c>
      <c r="S960" s="22">
        <v>2</v>
      </c>
      <c r="T960" s="25">
        <v>3663</v>
      </c>
      <c r="U960" s="22">
        <v>0</v>
      </c>
      <c r="V960" s="20" t="str">
        <f t="shared" ref="V960:V990" si="85">B960&amp;"-"&amp;C960&amp;"x"&amp;E960&amp;"x"&amp;D960</f>
        <v>K-152x156,5x100</v>
      </c>
    </row>
    <row r="961" spans="1:22" ht="15">
      <c r="A961" s="88" t="s">
        <v>698</v>
      </c>
      <c r="B961" s="76" t="s">
        <v>2167</v>
      </c>
      <c r="C961" s="2">
        <v>152</v>
      </c>
      <c r="D961" s="2">
        <v>100</v>
      </c>
      <c r="E961" s="2">
        <v>160</v>
      </c>
      <c r="F961" s="2">
        <v>140</v>
      </c>
      <c r="G961" s="21">
        <v>2.2799999999999998</v>
      </c>
      <c r="H961" s="20"/>
      <c r="I961" s="20"/>
      <c r="J961" s="20"/>
      <c r="K961" s="89"/>
      <c r="L961" s="767"/>
      <c r="M961" s="20"/>
      <c r="N961" s="20"/>
      <c r="O961" s="20"/>
      <c r="P961" s="20"/>
      <c r="Q961" s="21"/>
      <c r="R961" s="22" t="s">
        <v>16</v>
      </c>
      <c r="S961" s="22">
        <v>2</v>
      </c>
      <c r="T961" s="25">
        <v>2437</v>
      </c>
      <c r="U961" s="22">
        <v>0</v>
      </c>
      <c r="V961" s="20" t="str">
        <f t="shared" si="85"/>
        <v>K-152x160x100</v>
      </c>
    </row>
    <row r="962" spans="1:22" ht="15">
      <c r="A962" s="88" t="s">
        <v>699</v>
      </c>
      <c r="B962" s="76" t="s">
        <v>2167</v>
      </c>
      <c r="C962" s="2">
        <v>152</v>
      </c>
      <c r="D962" s="2">
        <v>100</v>
      </c>
      <c r="E962" s="2">
        <v>162.69999999999999</v>
      </c>
      <c r="F962" s="2">
        <v>137.30000000000001</v>
      </c>
      <c r="G962" s="21">
        <v>2.2799999999999998</v>
      </c>
      <c r="H962" s="20"/>
      <c r="I962" s="20"/>
      <c r="J962" s="20"/>
      <c r="K962" s="89"/>
      <c r="L962" s="767"/>
      <c r="M962" s="20"/>
      <c r="N962" s="20"/>
      <c r="O962" s="20"/>
      <c r="P962" s="20"/>
      <c r="Q962" s="21"/>
      <c r="R962" s="22" t="s">
        <v>16</v>
      </c>
      <c r="S962" s="22">
        <v>2</v>
      </c>
      <c r="T962" s="25">
        <v>1954</v>
      </c>
      <c r="U962" s="22">
        <v>0</v>
      </c>
      <c r="V962" s="20" t="str">
        <f t="shared" si="85"/>
        <v>K-152x162,7x100</v>
      </c>
    </row>
    <row r="963" spans="1:22" ht="15">
      <c r="A963" s="88" t="s">
        <v>700</v>
      </c>
      <c r="B963" s="76" t="s">
        <v>2167</v>
      </c>
      <c r="C963" s="2">
        <v>152</v>
      </c>
      <c r="D963" s="2">
        <v>100</v>
      </c>
      <c r="E963" s="2">
        <v>165</v>
      </c>
      <c r="F963" s="2">
        <v>135</v>
      </c>
      <c r="G963" s="21">
        <v>2.2799999999999998</v>
      </c>
      <c r="H963" s="20"/>
      <c r="I963" s="20"/>
      <c r="J963" s="20"/>
      <c r="K963" s="89"/>
      <c r="L963" s="767"/>
      <c r="M963" s="20"/>
      <c r="N963" s="20"/>
      <c r="O963" s="20"/>
      <c r="P963" s="20"/>
      <c r="Q963" s="21"/>
      <c r="R963" s="22" t="s">
        <v>16</v>
      </c>
      <c r="S963" s="22">
        <v>2</v>
      </c>
      <c r="T963" s="25">
        <v>1680</v>
      </c>
      <c r="U963" s="22">
        <v>0</v>
      </c>
      <c r="V963" s="20" t="str">
        <f t="shared" si="85"/>
        <v>K-152x165x100</v>
      </c>
    </row>
    <row r="964" spans="1:22" ht="15">
      <c r="A964" s="88" t="s">
        <v>701</v>
      </c>
      <c r="B964" s="76" t="s">
        <v>2167</v>
      </c>
      <c r="C964" s="2">
        <v>152</v>
      </c>
      <c r="D964" s="2">
        <v>100</v>
      </c>
      <c r="E964" s="2">
        <v>170</v>
      </c>
      <c r="F964" s="2">
        <v>130</v>
      </c>
      <c r="G964" s="21">
        <v>2.2799999999999998</v>
      </c>
      <c r="H964" s="20"/>
      <c r="I964" s="20"/>
      <c r="J964" s="20"/>
      <c r="K964" s="89"/>
      <c r="L964" s="767"/>
      <c r="M964" s="20"/>
      <c r="N964" s="20"/>
      <c r="O964" s="20"/>
      <c r="P964" s="20"/>
      <c r="Q964" s="21"/>
      <c r="R964" s="22" t="s">
        <v>16</v>
      </c>
      <c r="S964" s="22">
        <v>2</v>
      </c>
      <c r="T964" s="25">
        <v>1303</v>
      </c>
      <c r="U964" s="22">
        <v>0</v>
      </c>
      <c r="V964" s="20" t="str">
        <f t="shared" si="85"/>
        <v>K-152x170x100</v>
      </c>
    </row>
    <row r="965" spans="1:22" ht="15">
      <c r="A965" s="88" t="s">
        <v>702</v>
      </c>
      <c r="B965" s="76" t="s">
        <v>2167</v>
      </c>
      <c r="C965" s="2">
        <v>178</v>
      </c>
      <c r="D965" s="2">
        <v>100</v>
      </c>
      <c r="E965" s="2">
        <v>154</v>
      </c>
      <c r="F965" s="2">
        <v>146</v>
      </c>
      <c r="G965" s="21">
        <v>2.67</v>
      </c>
      <c r="H965" s="20"/>
      <c r="I965" s="20"/>
      <c r="J965" s="20"/>
      <c r="K965" s="89"/>
      <c r="L965" s="767"/>
      <c r="M965" s="20"/>
      <c r="N965" s="20"/>
      <c r="O965" s="20"/>
      <c r="P965" s="20"/>
      <c r="Q965" s="21"/>
      <c r="R965" s="22" t="s">
        <v>16</v>
      </c>
      <c r="S965" s="22">
        <v>2</v>
      </c>
      <c r="T965" s="25">
        <v>6855</v>
      </c>
      <c r="U965" s="22">
        <v>0</v>
      </c>
      <c r="V965" s="20" t="str">
        <f t="shared" si="85"/>
        <v>K-178x154x100</v>
      </c>
    </row>
    <row r="966" spans="1:22" ht="15">
      <c r="A966" s="88" t="s">
        <v>703</v>
      </c>
      <c r="B966" s="76" t="s">
        <v>2167</v>
      </c>
      <c r="C966" s="2">
        <v>178</v>
      </c>
      <c r="D966" s="2">
        <v>100</v>
      </c>
      <c r="E966" s="2">
        <v>155</v>
      </c>
      <c r="F966" s="2">
        <v>145</v>
      </c>
      <c r="G966" s="21">
        <v>2.67</v>
      </c>
      <c r="H966" s="20"/>
      <c r="I966" s="20"/>
      <c r="J966" s="20"/>
      <c r="K966" s="89"/>
      <c r="L966" s="767"/>
      <c r="M966" s="20"/>
      <c r="N966" s="20"/>
      <c r="O966" s="20"/>
      <c r="P966" s="20"/>
      <c r="Q966" s="21"/>
      <c r="R966" s="22" t="s">
        <v>16</v>
      </c>
      <c r="S966" s="22">
        <v>2</v>
      </c>
      <c r="T966" s="25">
        <v>5520</v>
      </c>
      <c r="U966" s="22">
        <v>0</v>
      </c>
      <c r="V966" s="20" t="str">
        <f t="shared" si="85"/>
        <v>K-178x155x100</v>
      </c>
    </row>
    <row r="967" spans="1:22" ht="15">
      <c r="A967" s="88" t="s">
        <v>704</v>
      </c>
      <c r="B967" s="76" t="s">
        <v>2167</v>
      </c>
      <c r="C967" s="2">
        <v>178</v>
      </c>
      <c r="D967" s="2">
        <v>100</v>
      </c>
      <c r="E967" s="2">
        <v>159</v>
      </c>
      <c r="F967" s="2">
        <v>141</v>
      </c>
      <c r="G967" s="21">
        <v>2.67</v>
      </c>
      <c r="H967" s="20"/>
      <c r="I967" s="20"/>
      <c r="J967" s="20"/>
      <c r="K967" s="89"/>
      <c r="L967" s="767"/>
      <c r="M967" s="20"/>
      <c r="N967" s="20"/>
      <c r="O967" s="20"/>
      <c r="P967" s="20"/>
      <c r="Q967" s="21"/>
      <c r="R967" s="22" t="s">
        <v>16</v>
      </c>
      <c r="S967" s="22">
        <v>2</v>
      </c>
      <c r="T967" s="25">
        <v>3149</v>
      </c>
      <c r="U967" s="22">
        <v>0</v>
      </c>
      <c r="V967" s="20" t="str">
        <f t="shared" si="85"/>
        <v>K-178x159x100</v>
      </c>
    </row>
    <row r="968" spans="1:22" ht="15">
      <c r="A968" s="88" t="s">
        <v>705</v>
      </c>
      <c r="B968" s="76" t="s">
        <v>2167</v>
      </c>
      <c r="C968" s="2">
        <v>178</v>
      </c>
      <c r="D968" s="2">
        <v>100</v>
      </c>
      <c r="E968" s="2">
        <v>160</v>
      </c>
      <c r="F968" s="2">
        <v>140</v>
      </c>
      <c r="G968" s="21">
        <v>2.67</v>
      </c>
      <c r="H968" s="20"/>
      <c r="I968" s="20"/>
      <c r="J968" s="20"/>
      <c r="K968" s="89"/>
      <c r="L968" s="767"/>
      <c r="M968" s="20"/>
      <c r="N968" s="20"/>
      <c r="O968" s="20"/>
      <c r="P968" s="20"/>
      <c r="Q968" s="21"/>
      <c r="R968" s="22" t="s">
        <v>16</v>
      </c>
      <c r="S968" s="22">
        <v>2</v>
      </c>
      <c r="T968" s="25">
        <v>2852</v>
      </c>
      <c r="U968" s="22">
        <v>0</v>
      </c>
      <c r="V968" s="20" t="str">
        <f t="shared" si="85"/>
        <v>K-178x160x100</v>
      </c>
    </row>
    <row r="969" spans="1:22" ht="15">
      <c r="A969" s="88" t="s">
        <v>706</v>
      </c>
      <c r="B969" s="76" t="s">
        <v>2167</v>
      </c>
      <c r="C969" s="2">
        <v>178</v>
      </c>
      <c r="D969" s="2">
        <v>100</v>
      </c>
      <c r="E969" s="2">
        <v>165</v>
      </c>
      <c r="F969" s="2">
        <v>135</v>
      </c>
      <c r="G969" s="21">
        <v>2.67</v>
      </c>
      <c r="H969" s="20"/>
      <c r="I969" s="20"/>
      <c r="J969" s="20"/>
      <c r="K969" s="89"/>
      <c r="L969" s="767"/>
      <c r="M969" s="20"/>
      <c r="N969" s="20"/>
      <c r="O969" s="20"/>
      <c r="P969" s="20"/>
      <c r="Q969" s="21"/>
      <c r="R969" s="22" t="s">
        <v>16</v>
      </c>
      <c r="S969" s="22">
        <v>2</v>
      </c>
      <c r="T969" s="25">
        <v>1965</v>
      </c>
      <c r="U969" s="22">
        <v>0</v>
      </c>
      <c r="V969" s="20" t="str">
        <f t="shared" si="85"/>
        <v>K-178x165x100</v>
      </c>
    </row>
    <row r="970" spans="1:22" ht="15">
      <c r="A970" s="88" t="s">
        <v>707</v>
      </c>
      <c r="B970" s="76" t="s">
        <v>2167</v>
      </c>
      <c r="C970" s="2">
        <v>178</v>
      </c>
      <c r="D970" s="2">
        <v>100</v>
      </c>
      <c r="E970" s="2">
        <v>170</v>
      </c>
      <c r="F970" s="2">
        <v>130</v>
      </c>
      <c r="G970" s="21">
        <v>2.67</v>
      </c>
      <c r="H970" s="20"/>
      <c r="I970" s="20"/>
      <c r="J970" s="20"/>
      <c r="K970" s="89"/>
      <c r="L970" s="767"/>
      <c r="M970" s="20"/>
      <c r="N970" s="20"/>
      <c r="O970" s="20"/>
      <c r="P970" s="20"/>
      <c r="Q970" s="21"/>
      <c r="R970" s="22" t="s">
        <v>16</v>
      </c>
      <c r="S970" s="22">
        <v>2</v>
      </c>
      <c r="T970" s="25">
        <v>1523</v>
      </c>
      <c r="U970" s="22">
        <v>0</v>
      </c>
      <c r="V970" s="20" t="str">
        <f t="shared" si="85"/>
        <v>K-178x170x100</v>
      </c>
    </row>
    <row r="971" spans="1:22" ht="15">
      <c r="A971" s="88" t="s">
        <v>708</v>
      </c>
      <c r="B971" s="76" t="s">
        <v>2167</v>
      </c>
      <c r="C971" s="2">
        <v>203</v>
      </c>
      <c r="D971" s="2">
        <v>100</v>
      </c>
      <c r="E971" s="2">
        <v>150</v>
      </c>
      <c r="F971" s="2">
        <v>150</v>
      </c>
      <c r="G971" s="21">
        <v>3.0449999999999999</v>
      </c>
      <c r="H971" s="20"/>
      <c r="I971" s="20"/>
      <c r="J971" s="20"/>
      <c r="K971" s="89"/>
      <c r="L971" s="767"/>
      <c r="M971" s="20"/>
      <c r="N971" s="20"/>
      <c r="O971" s="20"/>
      <c r="P971" s="20"/>
      <c r="Q971" s="21"/>
      <c r="R971" s="22" t="s">
        <v>16</v>
      </c>
      <c r="S971" s="22">
        <v>2</v>
      </c>
      <c r="T971" s="25" t="s">
        <v>16</v>
      </c>
      <c r="U971" s="22">
        <v>0</v>
      </c>
      <c r="V971" s="20" t="str">
        <f t="shared" si="85"/>
        <v>K-203x150x100</v>
      </c>
    </row>
    <row r="972" spans="1:22" ht="15">
      <c r="A972" s="88" t="s">
        <v>709</v>
      </c>
      <c r="B972" s="76" t="s">
        <v>2167</v>
      </c>
      <c r="C972" s="2">
        <v>203</v>
      </c>
      <c r="D972" s="2">
        <v>100</v>
      </c>
      <c r="E972" s="2">
        <v>154</v>
      </c>
      <c r="F972" s="2">
        <v>146</v>
      </c>
      <c r="G972" s="21">
        <v>3.0449999999999999</v>
      </c>
      <c r="H972" s="20"/>
      <c r="I972" s="20"/>
      <c r="J972" s="20"/>
      <c r="K972" s="89"/>
      <c r="L972" s="767"/>
      <c r="M972" s="20"/>
      <c r="N972" s="20"/>
      <c r="O972" s="20"/>
      <c r="P972" s="20"/>
      <c r="Q972" s="21"/>
      <c r="R972" s="22" t="s">
        <v>16</v>
      </c>
      <c r="S972" s="22">
        <v>2</v>
      </c>
      <c r="T972" s="25">
        <v>7917</v>
      </c>
      <c r="U972" s="22">
        <v>0</v>
      </c>
      <c r="V972" s="20" t="str">
        <f t="shared" si="85"/>
        <v>K-203x154x100</v>
      </c>
    </row>
    <row r="973" spans="1:22" ht="15">
      <c r="A973" s="88" t="s">
        <v>710</v>
      </c>
      <c r="B973" s="76" t="s">
        <v>2167</v>
      </c>
      <c r="C973" s="2">
        <v>203</v>
      </c>
      <c r="D973" s="2">
        <v>100</v>
      </c>
      <c r="E973" s="2">
        <v>155</v>
      </c>
      <c r="F973" s="2">
        <v>145</v>
      </c>
      <c r="G973" s="21">
        <v>3.0449999999999999</v>
      </c>
      <c r="H973" s="20"/>
      <c r="I973" s="20"/>
      <c r="J973" s="20"/>
      <c r="K973" s="89"/>
      <c r="L973" s="767"/>
      <c r="M973" s="20"/>
      <c r="N973" s="20"/>
      <c r="O973" s="20"/>
      <c r="P973" s="20"/>
      <c r="Q973" s="21"/>
      <c r="R973" s="22" t="s">
        <v>16</v>
      </c>
      <c r="S973" s="22">
        <v>2</v>
      </c>
      <c r="T973" s="25">
        <v>6295</v>
      </c>
      <c r="U973" s="22">
        <v>0</v>
      </c>
      <c r="V973" s="20" t="str">
        <f t="shared" si="85"/>
        <v>K-203x155x100</v>
      </c>
    </row>
    <row r="974" spans="1:22" ht="15">
      <c r="A974" s="88" t="s">
        <v>711</v>
      </c>
      <c r="B974" s="76" t="s">
        <v>2167</v>
      </c>
      <c r="C974" s="2">
        <v>203</v>
      </c>
      <c r="D974" s="2">
        <v>100</v>
      </c>
      <c r="E974" s="2">
        <v>159.5</v>
      </c>
      <c r="F974" s="2">
        <v>140.5</v>
      </c>
      <c r="G974" s="21">
        <v>3.0449999999999999</v>
      </c>
      <c r="H974" s="20"/>
      <c r="I974" s="20"/>
      <c r="J974" s="20"/>
      <c r="K974" s="89"/>
      <c r="L974" s="767"/>
      <c r="M974" s="20"/>
      <c r="N974" s="20"/>
      <c r="O974" s="20"/>
      <c r="P974" s="20"/>
      <c r="Q974" s="21"/>
      <c r="R974" s="22" t="s">
        <v>16</v>
      </c>
      <c r="S974" s="22">
        <v>2</v>
      </c>
      <c r="T974" s="25">
        <v>3412</v>
      </c>
      <c r="U974" s="22">
        <v>0</v>
      </c>
      <c r="V974" s="20" t="str">
        <f t="shared" si="85"/>
        <v>K-203x159,5x100</v>
      </c>
    </row>
    <row r="975" spans="1:22" ht="15">
      <c r="A975" s="88" t="s">
        <v>712</v>
      </c>
      <c r="B975" s="76" t="s">
        <v>2167</v>
      </c>
      <c r="C975" s="2">
        <v>203</v>
      </c>
      <c r="D975" s="2">
        <v>100</v>
      </c>
      <c r="E975" s="2">
        <v>160</v>
      </c>
      <c r="F975" s="2">
        <v>140</v>
      </c>
      <c r="G975" s="21">
        <v>3.0449999999999999</v>
      </c>
      <c r="H975" s="20"/>
      <c r="I975" s="20"/>
      <c r="J975" s="20"/>
      <c r="K975" s="89"/>
      <c r="L975" s="767"/>
      <c r="M975" s="20"/>
      <c r="N975" s="20"/>
      <c r="O975" s="20"/>
      <c r="P975" s="20"/>
      <c r="Q975" s="21"/>
      <c r="R975" s="22" t="s">
        <v>16</v>
      </c>
      <c r="S975" s="22">
        <v>2</v>
      </c>
      <c r="T975" s="25">
        <v>3252</v>
      </c>
      <c r="U975" s="22">
        <v>0</v>
      </c>
      <c r="V975" s="20" t="str">
        <f t="shared" si="85"/>
        <v>K-203x160x100</v>
      </c>
    </row>
    <row r="976" spans="1:22" ht="15">
      <c r="A976" s="88" t="s">
        <v>713</v>
      </c>
      <c r="B976" s="76" t="s">
        <v>2167</v>
      </c>
      <c r="C976" s="2">
        <v>203</v>
      </c>
      <c r="D976" s="2">
        <v>100</v>
      </c>
      <c r="E976" s="2">
        <v>165</v>
      </c>
      <c r="F976" s="2">
        <v>135</v>
      </c>
      <c r="G976" s="21">
        <v>3.0449999999999999</v>
      </c>
      <c r="H976" s="20"/>
      <c r="I976" s="20"/>
      <c r="J976" s="20"/>
      <c r="K976" s="89"/>
      <c r="L976" s="767"/>
      <c r="M976" s="20"/>
      <c r="N976" s="20"/>
      <c r="O976" s="20"/>
      <c r="P976" s="20"/>
      <c r="Q976" s="21"/>
      <c r="R976" s="22" t="s">
        <v>16</v>
      </c>
      <c r="S976" s="22">
        <v>2</v>
      </c>
      <c r="T976" s="25">
        <v>2239</v>
      </c>
      <c r="U976" s="22">
        <v>0</v>
      </c>
      <c r="V976" s="20" t="str">
        <f t="shared" si="85"/>
        <v>K-203x165x100</v>
      </c>
    </row>
    <row r="977" spans="1:22" ht="15">
      <c r="A977" s="88" t="s">
        <v>714</v>
      </c>
      <c r="B977" s="76" t="s">
        <v>2167</v>
      </c>
      <c r="C977" s="2">
        <v>203</v>
      </c>
      <c r="D977" s="2">
        <v>100</v>
      </c>
      <c r="E977" s="2">
        <v>170</v>
      </c>
      <c r="F977" s="2">
        <v>130</v>
      </c>
      <c r="G977" s="21">
        <v>3.0449999999999999</v>
      </c>
      <c r="H977" s="20"/>
      <c r="I977" s="20"/>
      <c r="J977" s="20"/>
      <c r="K977" s="89"/>
      <c r="L977" s="767"/>
      <c r="M977" s="20"/>
      <c r="N977" s="20"/>
      <c r="O977" s="20"/>
      <c r="P977" s="20"/>
      <c r="Q977" s="21"/>
      <c r="R977" s="22" t="s">
        <v>16</v>
      </c>
      <c r="S977" s="22">
        <v>2</v>
      </c>
      <c r="T977" s="25">
        <v>1734</v>
      </c>
      <c r="U977" s="22">
        <v>0</v>
      </c>
      <c r="V977" s="20" t="str">
        <f t="shared" si="85"/>
        <v>K-203x170x100</v>
      </c>
    </row>
    <row r="978" spans="1:22" ht="15">
      <c r="A978" s="88" t="s">
        <v>715</v>
      </c>
      <c r="B978" s="76" t="s">
        <v>2167</v>
      </c>
      <c r="C978" s="2">
        <v>203</v>
      </c>
      <c r="D978" s="2">
        <v>100</v>
      </c>
      <c r="E978" s="2">
        <v>172.2</v>
      </c>
      <c r="F978" s="2">
        <v>127.8</v>
      </c>
      <c r="G978" s="21">
        <v>3.0449999999999999</v>
      </c>
      <c r="H978" s="20"/>
      <c r="I978" s="20"/>
      <c r="J978" s="20"/>
      <c r="K978" s="89"/>
      <c r="L978" s="767"/>
      <c r="M978" s="20"/>
      <c r="N978" s="20"/>
      <c r="O978" s="20"/>
      <c r="P978" s="20"/>
      <c r="Q978" s="21"/>
      <c r="R978" s="22" t="s">
        <v>16</v>
      </c>
      <c r="S978" s="22">
        <v>2</v>
      </c>
      <c r="T978" s="25">
        <v>1584</v>
      </c>
      <c r="U978" s="22">
        <v>0</v>
      </c>
      <c r="V978" s="20" t="str">
        <f t="shared" si="85"/>
        <v>K-203x172,2x100</v>
      </c>
    </row>
    <row r="979" spans="1:22" ht="15">
      <c r="A979" s="88" t="s">
        <v>716</v>
      </c>
      <c r="B979" s="76" t="s">
        <v>2167</v>
      </c>
      <c r="C979" s="2">
        <v>229</v>
      </c>
      <c r="D979" s="2">
        <v>100</v>
      </c>
      <c r="E979" s="2">
        <v>150</v>
      </c>
      <c r="F979" s="2">
        <v>150</v>
      </c>
      <c r="G979" s="21">
        <v>3.4350000000000001</v>
      </c>
      <c r="H979" s="20"/>
      <c r="I979" s="20"/>
      <c r="J979" s="20"/>
      <c r="K979" s="89"/>
      <c r="L979" s="767"/>
      <c r="M979" s="20"/>
      <c r="N979" s="20"/>
      <c r="O979" s="20"/>
      <c r="P979" s="20"/>
      <c r="Q979" s="21"/>
      <c r="R979" s="22" t="s">
        <v>16</v>
      </c>
      <c r="S979" s="22">
        <v>2</v>
      </c>
      <c r="T979" s="25" t="s">
        <v>16</v>
      </c>
      <c r="U979" s="22">
        <v>0</v>
      </c>
      <c r="V979" s="20" t="str">
        <f t="shared" si="85"/>
        <v>K-229x150x100</v>
      </c>
    </row>
    <row r="980" spans="1:22" ht="15">
      <c r="A980" s="88" t="s">
        <v>717</v>
      </c>
      <c r="B980" s="76" t="s">
        <v>2167</v>
      </c>
      <c r="C980" s="2">
        <v>229</v>
      </c>
      <c r="D980" s="2">
        <v>100</v>
      </c>
      <c r="E980" s="2">
        <v>154</v>
      </c>
      <c r="F980" s="2">
        <v>146</v>
      </c>
      <c r="G980" s="21">
        <v>3.4350000000000001</v>
      </c>
      <c r="H980" s="20"/>
      <c r="I980" s="20"/>
      <c r="J980" s="20"/>
      <c r="K980" s="89"/>
      <c r="L980" s="767"/>
      <c r="M980" s="20"/>
      <c r="N980" s="20"/>
      <c r="O980" s="20"/>
      <c r="P980" s="20"/>
      <c r="Q980" s="21"/>
      <c r="R980" s="22" t="s">
        <v>16</v>
      </c>
      <c r="S980" s="22">
        <v>2</v>
      </c>
      <c r="T980" s="25">
        <v>8818</v>
      </c>
      <c r="U980" s="22">
        <v>0</v>
      </c>
      <c r="V980" s="20" t="str">
        <f t="shared" si="85"/>
        <v>K-229x154x100</v>
      </c>
    </row>
    <row r="981" spans="1:22" ht="15">
      <c r="A981" s="88" t="s">
        <v>718</v>
      </c>
      <c r="B981" s="76" t="s">
        <v>2167</v>
      </c>
      <c r="C981" s="2">
        <v>229</v>
      </c>
      <c r="D981" s="2">
        <v>100</v>
      </c>
      <c r="E981" s="2">
        <v>158</v>
      </c>
      <c r="F981" s="2">
        <v>142</v>
      </c>
      <c r="G981" s="21">
        <v>3.4350000000000001</v>
      </c>
      <c r="H981" s="20"/>
      <c r="I981" s="20"/>
      <c r="J981" s="20"/>
      <c r="K981" s="89"/>
      <c r="L981" s="767"/>
      <c r="M981" s="20"/>
      <c r="N981" s="20"/>
      <c r="O981" s="20"/>
      <c r="P981" s="20"/>
      <c r="Q981" s="21"/>
      <c r="R981" s="22" t="s">
        <v>16</v>
      </c>
      <c r="S981" s="22">
        <v>2</v>
      </c>
      <c r="T981" s="25">
        <v>4526</v>
      </c>
      <c r="U981" s="22">
        <v>0</v>
      </c>
      <c r="V981" s="20" t="str">
        <f t="shared" si="85"/>
        <v>K-229x158x100</v>
      </c>
    </row>
    <row r="982" spans="1:22" ht="15">
      <c r="A982" s="88" t="s">
        <v>719</v>
      </c>
      <c r="B982" s="76" t="s">
        <v>2167</v>
      </c>
      <c r="C982" s="2">
        <v>229</v>
      </c>
      <c r="D982" s="2">
        <v>100</v>
      </c>
      <c r="E982" s="2">
        <v>165</v>
      </c>
      <c r="F982" s="2">
        <v>135</v>
      </c>
      <c r="G982" s="21">
        <v>3.4350000000000001</v>
      </c>
      <c r="H982" s="20"/>
      <c r="I982" s="20"/>
      <c r="J982" s="20"/>
      <c r="K982" s="89"/>
      <c r="L982" s="767"/>
      <c r="M982" s="20"/>
      <c r="N982" s="20"/>
      <c r="O982" s="20"/>
      <c r="P982" s="20"/>
      <c r="Q982" s="21"/>
      <c r="R982" s="22" t="s">
        <v>16</v>
      </c>
      <c r="S982" s="22">
        <v>2</v>
      </c>
      <c r="T982" s="25">
        <v>2524</v>
      </c>
      <c r="U982" s="22">
        <v>0</v>
      </c>
      <c r="V982" s="20" t="str">
        <f t="shared" si="85"/>
        <v>K-229x165x100</v>
      </c>
    </row>
    <row r="983" spans="1:22" ht="15">
      <c r="A983" s="88" t="s">
        <v>720</v>
      </c>
      <c r="B983" s="76" t="s">
        <v>2167</v>
      </c>
      <c r="C983" s="2">
        <v>229</v>
      </c>
      <c r="D983" s="2">
        <v>100</v>
      </c>
      <c r="E983" s="2">
        <v>175</v>
      </c>
      <c r="F983" s="2">
        <v>125</v>
      </c>
      <c r="G983" s="21">
        <v>3.4350000000000001</v>
      </c>
      <c r="H983" s="20"/>
      <c r="I983" s="20"/>
      <c r="J983" s="20"/>
      <c r="K983" s="89"/>
      <c r="L983" s="767"/>
      <c r="M983" s="20"/>
      <c r="N983" s="20"/>
      <c r="O983" s="20"/>
      <c r="P983" s="20"/>
      <c r="Q983" s="21"/>
      <c r="R983" s="22" t="s">
        <v>16</v>
      </c>
      <c r="S983" s="22">
        <v>2</v>
      </c>
      <c r="T983" s="26">
        <v>1613</v>
      </c>
      <c r="U983" s="22">
        <v>0</v>
      </c>
      <c r="V983" s="20" t="str">
        <f t="shared" si="85"/>
        <v>K-229x175x100</v>
      </c>
    </row>
    <row r="984" spans="1:22" ht="15">
      <c r="A984" s="88" t="s">
        <v>721</v>
      </c>
      <c r="B984" s="76" t="s">
        <v>2167</v>
      </c>
      <c r="C984" s="2">
        <v>178</v>
      </c>
      <c r="D984" s="2">
        <v>100</v>
      </c>
      <c r="E984" s="2">
        <v>110</v>
      </c>
      <c r="F984" s="2">
        <v>90</v>
      </c>
      <c r="G984" s="21">
        <v>1.78</v>
      </c>
      <c r="H984" s="20"/>
      <c r="I984" s="20"/>
      <c r="J984" s="20"/>
      <c r="K984" s="89"/>
      <c r="L984" s="767"/>
      <c r="M984" s="20"/>
      <c r="N984" s="20"/>
      <c r="O984" s="20"/>
      <c r="P984" s="20"/>
      <c r="Q984" s="21"/>
      <c r="R984" s="22" t="s">
        <v>16</v>
      </c>
      <c r="S984" s="22">
        <v>2</v>
      </c>
      <c r="T984" s="27">
        <v>1961</v>
      </c>
      <c r="U984" s="22">
        <v>0</v>
      </c>
      <c r="V984" s="20" t="str">
        <f t="shared" si="85"/>
        <v>K-178x110x100</v>
      </c>
    </row>
    <row r="985" spans="1:22" ht="15">
      <c r="A985" s="88" t="s">
        <v>722</v>
      </c>
      <c r="B985" s="76" t="s">
        <v>2167</v>
      </c>
      <c r="C985" s="2">
        <v>178</v>
      </c>
      <c r="D985" s="2">
        <v>100</v>
      </c>
      <c r="E985" s="2">
        <v>122.5</v>
      </c>
      <c r="F985" s="2">
        <v>102.5</v>
      </c>
      <c r="G985" s="21">
        <v>2.0030000000000001</v>
      </c>
      <c r="H985" s="20"/>
      <c r="I985" s="20"/>
      <c r="J985" s="20"/>
      <c r="K985" s="89"/>
      <c r="L985" s="767"/>
      <c r="M985" s="20"/>
      <c r="N985" s="20"/>
      <c r="O985" s="20"/>
      <c r="P985" s="20"/>
      <c r="Q985" s="21"/>
      <c r="R985" s="22" t="s">
        <v>16</v>
      </c>
      <c r="S985" s="22">
        <v>2</v>
      </c>
      <c r="T985" s="25">
        <v>2184</v>
      </c>
      <c r="U985" s="22">
        <v>0</v>
      </c>
      <c r="V985" s="20" t="str">
        <f t="shared" si="85"/>
        <v>K-178x122,5x100</v>
      </c>
    </row>
    <row r="986" spans="1:22" ht="15">
      <c r="A986" s="88" t="s">
        <v>723</v>
      </c>
      <c r="B986" s="76" t="s">
        <v>2167</v>
      </c>
      <c r="C986" s="2">
        <v>203</v>
      </c>
      <c r="D986" s="2">
        <v>100</v>
      </c>
      <c r="E986" s="2">
        <v>104</v>
      </c>
      <c r="F986" s="2">
        <v>96</v>
      </c>
      <c r="G986" s="21">
        <v>2.0299999999999998</v>
      </c>
      <c r="H986" s="20"/>
      <c r="I986" s="20"/>
      <c r="J986" s="20"/>
      <c r="K986" s="89"/>
      <c r="L986" s="767"/>
      <c r="M986" s="20"/>
      <c r="N986" s="20"/>
      <c r="O986" s="20"/>
      <c r="P986" s="20"/>
      <c r="Q986" s="21"/>
      <c r="R986" s="22" t="s">
        <v>16</v>
      </c>
      <c r="S986" s="22">
        <v>2</v>
      </c>
      <c r="T986" s="25">
        <v>5279</v>
      </c>
      <c r="U986" s="22">
        <v>0</v>
      </c>
      <c r="V986" s="20" t="str">
        <f t="shared" si="85"/>
        <v>K-203x104x100</v>
      </c>
    </row>
    <row r="987" spans="1:22" ht="14.25" customHeight="1">
      <c r="A987" s="88" t="s">
        <v>724</v>
      </c>
      <c r="B987" s="76" t="s">
        <v>2167</v>
      </c>
      <c r="C987" s="2">
        <v>203</v>
      </c>
      <c r="D987" s="2">
        <v>100</v>
      </c>
      <c r="E987" s="2">
        <v>116.5</v>
      </c>
      <c r="F987" s="2">
        <v>108.5</v>
      </c>
      <c r="G987" s="21">
        <v>2.2839999999999998</v>
      </c>
      <c r="H987" s="20"/>
      <c r="I987" s="20"/>
      <c r="J987" s="20"/>
      <c r="K987" s="89"/>
      <c r="L987" s="767"/>
      <c r="M987" s="20"/>
      <c r="N987" s="20"/>
      <c r="O987" s="20"/>
      <c r="P987" s="20"/>
      <c r="Q987" s="21"/>
      <c r="R987" s="22" t="s">
        <v>16</v>
      </c>
      <c r="S987" s="22">
        <v>2</v>
      </c>
      <c r="T987" s="25">
        <v>5914</v>
      </c>
      <c r="U987" s="22">
        <v>0</v>
      </c>
      <c r="V987" s="20" t="str">
        <f t="shared" si="85"/>
        <v>K-203x116,5x100</v>
      </c>
    </row>
    <row r="988" spans="1:22" ht="15">
      <c r="A988" s="88" t="s">
        <v>725</v>
      </c>
      <c r="B988" s="76" t="s">
        <v>2167</v>
      </c>
      <c r="C988" s="2">
        <v>229</v>
      </c>
      <c r="D988" s="2">
        <v>100</v>
      </c>
      <c r="E988" s="2">
        <v>104</v>
      </c>
      <c r="F988" s="2">
        <v>96</v>
      </c>
      <c r="G988" s="21">
        <v>2.29</v>
      </c>
      <c r="H988" s="20"/>
      <c r="I988" s="20"/>
      <c r="J988" s="20"/>
      <c r="K988" s="89"/>
      <c r="L988" s="767"/>
      <c r="M988" s="20"/>
      <c r="N988" s="20"/>
      <c r="O988" s="20"/>
      <c r="P988" s="20"/>
      <c r="Q988" s="21"/>
      <c r="R988" s="22" t="s">
        <v>16</v>
      </c>
      <c r="S988" s="22">
        <v>2</v>
      </c>
      <c r="T988" s="25">
        <v>5955</v>
      </c>
      <c r="U988" s="22">
        <v>0</v>
      </c>
      <c r="V988" s="20" t="str">
        <f t="shared" si="85"/>
        <v>K-229x104x100</v>
      </c>
    </row>
    <row r="989" spans="1:22" ht="15">
      <c r="A989" s="88" t="s">
        <v>726</v>
      </c>
      <c r="B989" s="76" t="s">
        <v>2167</v>
      </c>
      <c r="C989" s="2">
        <v>229</v>
      </c>
      <c r="D989" s="2">
        <v>100</v>
      </c>
      <c r="E989" s="2">
        <v>116.5</v>
      </c>
      <c r="F989" s="2">
        <v>108.5</v>
      </c>
      <c r="G989" s="21">
        <v>2.5760000000000001</v>
      </c>
      <c r="H989" s="20"/>
      <c r="I989" s="20"/>
      <c r="J989" s="20"/>
      <c r="K989" s="89"/>
      <c r="L989" s="767"/>
      <c r="M989" s="20"/>
      <c r="N989" s="20"/>
      <c r="O989" s="20"/>
      <c r="P989" s="20"/>
      <c r="Q989" s="21"/>
      <c r="R989" s="22" t="s">
        <v>16</v>
      </c>
      <c r="S989" s="22">
        <v>2</v>
      </c>
      <c r="T989" s="25">
        <v>6671</v>
      </c>
      <c r="U989" s="22">
        <v>0</v>
      </c>
      <c r="V989" s="20" t="str">
        <f t="shared" si="85"/>
        <v>K-229x116,5x100</v>
      </c>
    </row>
    <row r="990" spans="1:22" ht="15.6" thickBot="1">
      <c r="A990" s="90" t="s">
        <v>727</v>
      </c>
      <c r="B990" s="80" t="s">
        <v>2167</v>
      </c>
      <c r="C990" s="81">
        <v>152</v>
      </c>
      <c r="D990" s="81">
        <v>100</v>
      </c>
      <c r="E990" s="81">
        <v>154</v>
      </c>
      <c r="F990" s="81">
        <v>146</v>
      </c>
      <c r="G990" s="103">
        <v>1.7330000000000001</v>
      </c>
      <c r="H990" s="82"/>
      <c r="I990" s="82"/>
      <c r="J990" s="82"/>
      <c r="K990" s="91"/>
      <c r="L990" s="768"/>
      <c r="M990" s="20"/>
      <c r="N990" s="20"/>
      <c r="O990" s="20"/>
      <c r="P990" s="20"/>
      <c r="Q990" s="21"/>
      <c r="R990" s="22" t="s">
        <v>16</v>
      </c>
      <c r="S990" s="22">
        <v>2</v>
      </c>
      <c r="T990" s="25">
        <v>5854</v>
      </c>
      <c r="U990" s="22">
        <v>0</v>
      </c>
      <c r="V990" s="20" t="str">
        <f t="shared" si="85"/>
        <v>K-152x154x100</v>
      </c>
    </row>
    <row r="991" spans="1:22" ht="25.2" thickBot="1">
      <c r="A991" s="64" t="s">
        <v>124</v>
      </c>
      <c r="B991" s="72"/>
      <c r="C991" s="73"/>
      <c r="D991" s="73"/>
      <c r="E991" s="73"/>
      <c r="F991" s="73"/>
      <c r="G991" s="104"/>
      <c r="H991" s="73"/>
      <c r="I991" s="73"/>
      <c r="J991" s="73"/>
      <c r="K991" s="73"/>
      <c r="L991" s="93"/>
      <c r="M991" s="20"/>
      <c r="N991" s="20"/>
      <c r="O991" s="20"/>
      <c r="P991" s="20"/>
      <c r="Q991" s="21"/>
      <c r="R991" s="22"/>
      <c r="S991" s="22"/>
      <c r="T991" s="20"/>
      <c r="U991" s="22"/>
      <c r="V991" s="20"/>
    </row>
    <row r="992" spans="1:22" ht="15">
      <c r="A992" s="85" t="s">
        <v>728</v>
      </c>
      <c r="B992" s="545" t="s">
        <v>2167</v>
      </c>
      <c r="C992" s="77">
        <v>100</v>
      </c>
      <c r="D992" s="77">
        <v>100</v>
      </c>
      <c r="E992" s="77">
        <v>153</v>
      </c>
      <c r="F992" s="77">
        <v>147</v>
      </c>
      <c r="G992" s="86">
        <v>1.5</v>
      </c>
      <c r="H992" s="78"/>
      <c r="I992" s="78"/>
      <c r="J992" s="78"/>
      <c r="K992" s="87"/>
      <c r="L992" s="766" t="s">
        <v>124</v>
      </c>
      <c r="M992" s="20"/>
      <c r="N992" s="20"/>
      <c r="O992" s="20"/>
      <c r="P992" s="20"/>
      <c r="Q992" s="21"/>
      <c r="R992" s="22" t="s">
        <v>16</v>
      </c>
      <c r="S992" s="22">
        <v>2</v>
      </c>
      <c r="T992" s="25">
        <v>5102</v>
      </c>
      <c r="U992" s="22">
        <v>0</v>
      </c>
      <c r="V992" s="20" t="str">
        <f t="shared" ref="V992:V1023" si="86">B992&amp;"-"&amp;C992&amp;"x"&amp;E992&amp;"x"&amp;D992</f>
        <v>K-100x153x100</v>
      </c>
    </row>
    <row r="993" spans="1:22" ht="15">
      <c r="A993" s="88" t="s">
        <v>729</v>
      </c>
      <c r="B993" s="76" t="s">
        <v>2167</v>
      </c>
      <c r="C993" s="2">
        <v>100</v>
      </c>
      <c r="D993" s="2">
        <v>100</v>
      </c>
      <c r="E993" s="2">
        <v>160</v>
      </c>
      <c r="F993" s="2">
        <v>140</v>
      </c>
      <c r="G993" s="21">
        <v>1.5</v>
      </c>
      <c r="H993" s="20"/>
      <c r="I993" s="20"/>
      <c r="J993" s="20"/>
      <c r="K993" s="89"/>
      <c r="L993" s="767"/>
      <c r="M993" s="20"/>
      <c r="N993" s="20"/>
      <c r="O993" s="20"/>
      <c r="P993" s="20"/>
      <c r="Q993" s="21"/>
      <c r="R993" s="22" t="s">
        <v>16</v>
      </c>
      <c r="S993" s="22">
        <v>2</v>
      </c>
      <c r="T993" s="25">
        <v>1608</v>
      </c>
      <c r="U993" s="22">
        <v>0</v>
      </c>
      <c r="V993" s="20" t="str">
        <f t="shared" si="86"/>
        <v>K-100x160x100</v>
      </c>
    </row>
    <row r="994" spans="1:22" ht="15">
      <c r="A994" s="88" t="s">
        <v>730</v>
      </c>
      <c r="B994" s="76" t="s">
        <v>2167</v>
      </c>
      <c r="C994" s="2">
        <v>130</v>
      </c>
      <c r="D994" s="2">
        <v>100</v>
      </c>
      <c r="E994" s="2">
        <v>153</v>
      </c>
      <c r="F994" s="2">
        <v>147</v>
      </c>
      <c r="G994" s="21">
        <v>1.95</v>
      </c>
      <c r="H994" s="20"/>
      <c r="I994" s="20"/>
      <c r="J994" s="20"/>
      <c r="K994" s="89"/>
      <c r="L994" s="767"/>
      <c r="M994" s="20"/>
      <c r="N994" s="20"/>
      <c r="O994" s="20"/>
      <c r="P994" s="20"/>
      <c r="Q994" s="21"/>
      <c r="R994" s="22" t="s">
        <v>16</v>
      </c>
      <c r="S994" s="22">
        <v>2</v>
      </c>
      <c r="T994" s="25">
        <v>6632</v>
      </c>
      <c r="U994" s="22">
        <v>0</v>
      </c>
      <c r="V994" s="20" t="str">
        <f t="shared" si="86"/>
        <v>K-130x153x100</v>
      </c>
    </row>
    <row r="995" spans="1:22" ht="15">
      <c r="A995" s="88" t="s">
        <v>731</v>
      </c>
      <c r="B995" s="76" t="s">
        <v>2167</v>
      </c>
      <c r="C995" s="2">
        <v>130</v>
      </c>
      <c r="D995" s="2">
        <v>100</v>
      </c>
      <c r="E995" s="2">
        <v>160</v>
      </c>
      <c r="F995" s="2">
        <v>140</v>
      </c>
      <c r="G995" s="21">
        <v>1.95</v>
      </c>
      <c r="H995" s="20"/>
      <c r="I995" s="20"/>
      <c r="J995" s="20"/>
      <c r="K995" s="89"/>
      <c r="L995" s="767"/>
      <c r="M995" s="20"/>
      <c r="N995" s="20"/>
      <c r="O995" s="20"/>
      <c r="P995" s="20"/>
      <c r="Q995" s="21"/>
      <c r="R995" s="22" t="s">
        <v>16</v>
      </c>
      <c r="S995" s="22">
        <v>2</v>
      </c>
      <c r="T995" s="25">
        <v>2086</v>
      </c>
      <c r="U995" s="22">
        <v>0</v>
      </c>
      <c r="V995" s="20" t="str">
        <f t="shared" si="86"/>
        <v>K-130x160x100</v>
      </c>
    </row>
    <row r="996" spans="1:22" ht="15">
      <c r="A996" s="88" t="s">
        <v>732</v>
      </c>
      <c r="B996" s="76" t="s">
        <v>2167</v>
      </c>
      <c r="C996" s="2">
        <v>130</v>
      </c>
      <c r="D996" s="2">
        <v>100</v>
      </c>
      <c r="E996" s="2">
        <v>165</v>
      </c>
      <c r="F996" s="2">
        <v>135</v>
      </c>
      <c r="G996" s="21">
        <v>1.95</v>
      </c>
      <c r="H996" s="20"/>
      <c r="I996" s="20"/>
      <c r="J996" s="20"/>
      <c r="K996" s="89"/>
      <c r="L996" s="767"/>
      <c r="M996" s="20"/>
      <c r="N996" s="20"/>
      <c r="O996" s="20"/>
      <c r="P996" s="20"/>
      <c r="Q996" s="21"/>
      <c r="R996" s="22" t="s">
        <v>16</v>
      </c>
      <c r="S996" s="22">
        <v>2</v>
      </c>
      <c r="T996" s="25">
        <v>1439</v>
      </c>
      <c r="U996" s="22">
        <v>0</v>
      </c>
      <c r="V996" s="20" t="str">
        <f t="shared" si="86"/>
        <v>K-130x165x100</v>
      </c>
    </row>
    <row r="997" spans="1:22" ht="15">
      <c r="A997" s="88" t="s">
        <v>733</v>
      </c>
      <c r="B997" s="76" t="s">
        <v>2167</v>
      </c>
      <c r="C997" s="2">
        <v>130</v>
      </c>
      <c r="D997" s="2">
        <v>100</v>
      </c>
      <c r="E997" s="2">
        <v>170</v>
      </c>
      <c r="F997" s="2">
        <v>130</v>
      </c>
      <c r="G997" s="21">
        <v>1.95</v>
      </c>
      <c r="H997" s="20"/>
      <c r="I997" s="20"/>
      <c r="J997" s="20"/>
      <c r="K997" s="89"/>
      <c r="L997" s="767"/>
      <c r="M997" s="20"/>
      <c r="N997" s="20"/>
      <c r="O997" s="20"/>
      <c r="P997" s="20"/>
      <c r="Q997" s="21"/>
      <c r="R997" s="22" t="s">
        <v>16</v>
      </c>
      <c r="S997" s="22">
        <v>2</v>
      </c>
      <c r="T997" s="25">
        <v>1118</v>
      </c>
      <c r="U997" s="22">
        <v>0</v>
      </c>
      <c r="V997" s="20" t="str">
        <f t="shared" si="86"/>
        <v>K-130x170x100</v>
      </c>
    </row>
    <row r="998" spans="1:22" ht="15">
      <c r="A998" s="88" t="s">
        <v>734</v>
      </c>
      <c r="B998" s="76" t="s">
        <v>2167</v>
      </c>
      <c r="C998" s="2">
        <v>140</v>
      </c>
      <c r="D998" s="2">
        <v>100</v>
      </c>
      <c r="E998" s="2">
        <v>154</v>
      </c>
      <c r="F998" s="2">
        <v>146</v>
      </c>
      <c r="G998" s="21">
        <v>2.1</v>
      </c>
      <c r="H998" s="20"/>
      <c r="I998" s="20"/>
      <c r="J998" s="20"/>
      <c r="K998" s="89"/>
      <c r="L998" s="767"/>
      <c r="M998" s="20"/>
      <c r="N998" s="20"/>
      <c r="O998" s="20"/>
      <c r="P998" s="20"/>
      <c r="Q998" s="21"/>
      <c r="R998" s="22" t="s">
        <v>16</v>
      </c>
      <c r="S998" s="22">
        <v>2</v>
      </c>
      <c r="T998" s="25">
        <v>5392</v>
      </c>
      <c r="U998" s="22">
        <v>0</v>
      </c>
      <c r="V998" s="20" t="str">
        <f t="shared" si="86"/>
        <v>K-140x154x100</v>
      </c>
    </row>
    <row r="999" spans="1:22" ht="15">
      <c r="A999" s="88" t="s">
        <v>735</v>
      </c>
      <c r="B999" s="76" t="s">
        <v>2167</v>
      </c>
      <c r="C999" s="2">
        <v>140</v>
      </c>
      <c r="D999" s="2">
        <v>100</v>
      </c>
      <c r="E999" s="2">
        <v>160</v>
      </c>
      <c r="F999" s="2">
        <v>140</v>
      </c>
      <c r="G999" s="21">
        <v>2.1</v>
      </c>
      <c r="H999" s="20"/>
      <c r="I999" s="20"/>
      <c r="J999" s="20"/>
      <c r="K999" s="89"/>
      <c r="L999" s="767"/>
      <c r="M999" s="20"/>
      <c r="N999" s="20"/>
      <c r="O999" s="20"/>
      <c r="P999" s="20"/>
      <c r="Q999" s="21"/>
      <c r="R999" s="22" t="s">
        <v>16</v>
      </c>
      <c r="S999" s="22">
        <v>2</v>
      </c>
      <c r="T999" s="25">
        <v>2246</v>
      </c>
      <c r="U999" s="22">
        <v>0</v>
      </c>
      <c r="V999" s="20" t="str">
        <f t="shared" si="86"/>
        <v>K-140x160x100</v>
      </c>
    </row>
    <row r="1000" spans="1:22" ht="15">
      <c r="A1000" s="88" t="s">
        <v>736</v>
      </c>
      <c r="B1000" s="76" t="s">
        <v>2167</v>
      </c>
      <c r="C1000" s="2">
        <v>150</v>
      </c>
      <c r="D1000" s="2">
        <v>100</v>
      </c>
      <c r="E1000" s="2">
        <v>153</v>
      </c>
      <c r="F1000" s="2">
        <v>147</v>
      </c>
      <c r="G1000" s="21">
        <v>2.25</v>
      </c>
      <c r="H1000" s="20"/>
      <c r="I1000" s="20"/>
      <c r="J1000" s="20"/>
      <c r="K1000" s="89"/>
      <c r="L1000" s="767"/>
      <c r="M1000" s="20"/>
      <c r="N1000" s="20"/>
      <c r="O1000" s="20"/>
      <c r="P1000" s="20"/>
      <c r="Q1000" s="21"/>
      <c r="R1000" s="22" t="s">
        <v>16</v>
      </c>
      <c r="S1000" s="22">
        <v>2</v>
      </c>
      <c r="T1000" s="25">
        <v>7652</v>
      </c>
      <c r="U1000" s="22">
        <v>0</v>
      </c>
      <c r="V1000" s="20" t="str">
        <f t="shared" si="86"/>
        <v>K-150x153x100</v>
      </c>
    </row>
    <row r="1001" spans="1:22" ht="15">
      <c r="A1001" s="88" t="s">
        <v>737</v>
      </c>
      <c r="B1001" s="76" t="s">
        <v>2167</v>
      </c>
      <c r="C1001" s="2">
        <v>150</v>
      </c>
      <c r="D1001" s="2">
        <v>100</v>
      </c>
      <c r="E1001" s="2">
        <v>154</v>
      </c>
      <c r="F1001" s="2">
        <v>146</v>
      </c>
      <c r="G1001" s="21">
        <v>2.25</v>
      </c>
      <c r="H1001" s="20"/>
      <c r="I1001" s="20"/>
      <c r="J1001" s="20"/>
      <c r="K1001" s="89"/>
      <c r="L1001" s="767"/>
      <c r="M1001" s="20"/>
      <c r="N1001" s="20"/>
      <c r="O1001" s="20"/>
      <c r="P1001" s="20"/>
      <c r="Q1001" s="21"/>
      <c r="R1001" s="22" t="s">
        <v>16</v>
      </c>
      <c r="S1001" s="22">
        <v>2</v>
      </c>
      <c r="T1001" s="25">
        <v>5777</v>
      </c>
      <c r="U1001" s="22">
        <v>0</v>
      </c>
      <c r="V1001" s="20" t="str">
        <f t="shared" si="86"/>
        <v>K-150x154x100</v>
      </c>
    </row>
    <row r="1002" spans="1:22" ht="15">
      <c r="A1002" s="88" t="s">
        <v>738</v>
      </c>
      <c r="B1002" s="76" t="s">
        <v>2167</v>
      </c>
      <c r="C1002" s="2">
        <v>150</v>
      </c>
      <c r="D1002" s="2">
        <v>100</v>
      </c>
      <c r="E1002" s="2">
        <v>155</v>
      </c>
      <c r="F1002" s="2">
        <v>145</v>
      </c>
      <c r="G1002" s="21">
        <v>2.25</v>
      </c>
      <c r="H1002" s="20"/>
      <c r="I1002" s="20"/>
      <c r="J1002" s="20"/>
      <c r="K1002" s="89"/>
      <c r="L1002" s="767"/>
      <c r="M1002" s="20"/>
      <c r="N1002" s="20"/>
      <c r="O1002" s="20"/>
      <c r="P1002" s="20"/>
      <c r="Q1002" s="21"/>
      <c r="R1002" s="22" t="s">
        <v>16</v>
      </c>
      <c r="S1002" s="22">
        <v>2</v>
      </c>
      <c r="T1002" s="25">
        <v>4653</v>
      </c>
      <c r="U1002" s="22">
        <v>0</v>
      </c>
      <c r="V1002" s="20" t="str">
        <f t="shared" si="86"/>
        <v>K-150x155x100</v>
      </c>
    </row>
    <row r="1003" spans="1:22" ht="15">
      <c r="A1003" s="88" t="s">
        <v>739</v>
      </c>
      <c r="B1003" s="76" t="s">
        <v>2167</v>
      </c>
      <c r="C1003" s="2">
        <v>150</v>
      </c>
      <c r="D1003" s="2">
        <v>100</v>
      </c>
      <c r="E1003" s="2">
        <v>156.5</v>
      </c>
      <c r="F1003" s="2">
        <v>143.5</v>
      </c>
      <c r="G1003" s="21">
        <v>2.25</v>
      </c>
      <c r="H1003" s="20"/>
      <c r="I1003" s="20"/>
      <c r="J1003" s="20"/>
      <c r="K1003" s="89"/>
      <c r="L1003" s="767"/>
      <c r="M1003" s="20"/>
      <c r="N1003" s="20"/>
      <c r="O1003" s="20"/>
      <c r="P1003" s="20"/>
      <c r="Q1003" s="21"/>
      <c r="R1003" s="22" t="s">
        <v>16</v>
      </c>
      <c r="S1003" s="22">
        <v>2</v>
      </c>
      <c r="T1003" s="25">
        <v>3615</v>
      </c>
      <c r="U1003" s="22">
        <v>0</v>
      </c>
      <c r="V1003" s="20" t="str">
        <f t="shared" si="86"/>
        <v>K-150x156,5x100</v>
      </c>
    </row>
    <row r="1004" spans="1:22" ht="15">
      <c r="A1004" s="88" t="s">
        <v>740</v>
      </c>
      <c r="B1004" s="76" t="s">
        <v>2167</v>
      </c>
      <c r="C1004" s="2">
        <v>150</v>
      </c>
      <c r="D1004" s="2">
        <v>100</v>
      </c>
      <c r="E1004" s="2">
        <v>158</v>
      </c>
      <c r="F1004" s="2">
        <v>142</v>
      </c>
      <c r="G1004" s="21">
        <v>2.25</v>
      </c>
      <c r="H1004" s="20"/>
      <c r="I1004" s="20"/>
      <c r="J1004" s="20"/>
      <c r="K1004" s="89"/>
      <c r="L1004" s="767"/>
      <c r="M1004" s="20"/>
      <c r="N1004" s="20"/>
      <c r="O1004" s="20"/>
      <c r="P1004" s="20"/>
      <c r="Q1004" s="21"/>
      <c r="R1004" s="22" t="s">
        <v>16</v>
      </c>
      <c r="S1004" s="22">
        <v>2</v>
      </c>
      <c r="T1004" s="25">
        <v>2967</v>
      </c>
      <c r="U1004" s="22">
        <v>0</v>
      </c>
      <c r="V1004" s="20" t="str">
        <f t="shared" si="86"/>
        <v>K-150x158x100</v>
      </c>
    </row>
    <row r="1005" spans="1:22" ht="15">
      <c r="A1005" s="88" t="s">
        <v>741</v>
      </c>
      <c r="B1005" s="76" t="s">
        <v>2167</v>
      </c>
      <c r="C1005" s="2">
        <v>150</v>
      </c>
      <c r="D1005" s="2">
        <v>100</v>
      </c>
      <c r="E1005" s="2">
        <v>160</v>
      </c>
      <c r="F1005" s="2">
        <v>140</v>
      </c>
      <c r="G1005" s="21">
        <v>2.25</v>
      </c>
      <c r="H1005" s="20"/>
      <c r="I1005" s="20"/>
      <c r="J1005" s="20"/>
      <c r="K1005" s="89"/>
      <c r="L1005" s="767"/>
      <c r="M1005" s="20"/>
      <c r="N1005" s="20"/>
      <c r="O1005" s="20"/>
      <c r="P1005" s="20"/>
      <c r="Q1005" s="21"/>
      <c r="R1005" s="22" t="s">
        <v>16</v>
      </c>
      <c r="S1005" s="22">
        <v>2</v>
      </c>
      <c r="T1005" s="25">
        <v>2405</v>
      </c>
      <c r="U1005" s="22">
        <v>0</v>
      </c>
      <c r="V1005" s="20" t="str">
        <f t="shared" si="86"/>
        <v>K-150x160x100</v>
      </c>
    </row>
    <row r="1006" spans="1:22" ht="15">
      <c r="A1006" s="88" t="s">
        <v>742</v>
      </c>
      <c r="B1006" s="76" t="s">
        <v>2167</v>
      </c>
      <c r="C1006" s="2">
        <v>150</v>
      </c>
      <c r="D1006" s="2">
        <v>100</v>
      </c>
      <c r="E1006" s="2">
        <v>162.5</v>
      </c>
      <c r="F1006" s="2">
        <v>137.5</v>
      </c>
      <c r="G1006" s="21">
        <v>2.25</v>
      </c>
      <c r="H1006" s="20"/>
      <c r="I1006" s="20"/>
      <c r="J1006" s="20"/>
      <c r="K1006" s="89"/>
      <c r="L1006" s="767"/>
      <c r="M1006" s="20"/>
      <c r="N1006" s="20"/>
      <c r="O1006" s="20"/>
      <c r="P1006" s="20"/>
      <c r="Q1006" s="21"/>
      <c r="R1006" s="22" t="s">
        <v>16</v>
      </c>
      <c r="S1006" s="22">
        <v>2</v>
      </c>
      <c r="T1006" s="25">
        <v>1957</v>
      </c>
      <c r="U1006" s="22">
        <v>0</v>
      </c>
      <c r="V1006" s="20" t="str">
        <f t="shared" si="86"/>
        <v>K-150x162,5x100</v>
      </c>
    </row>
    <row r="1007" spans="1:22" ht="15">
      <c r="A1007" s="88" t="s">
        <v>743</v>
      </c>
      <c r="B1007" s="76" t="s">
        <v>2167</v>
      </c>
      <c r="C1007" s="2">
        <v>150</v>
      </c>
      <c r="D1007" s="2">
        <v>100</v>
      </c>
      <c r="E1007" s="2">
        <v>165</v>
      </c>
      <c r="F1007" s="2">
        <v>135</v>
      </c>
      <c r="G1007" s="21">
        <v>2.25</v>
      </c>
      <c r="H1007" s="20"/>
      <c r="I1007" s="20"/>
      <c r="J1007" s="20"/>
      <c r="K1007" s="89"/>
      <c r="L1007" s="767"/>
      <c r="M1007" s="20"/>
      <c r="N1007" s="20"/>
      <c r="O1007" s="20"/>
      <c r="P1007" s="20"/>
      <c r="Q1007" s="21"/>
      <c r="R1007" s="22" t="s">
        <v>16</v>
      </c>
      <c r="S1007" s="22">
        <v>2</v>
      </c>
      <c r="T1007" s="25">
        <v>1658</v>
      </c>
      <c r="U1007" s="22">
        <v>0</v>
      </c>
      <c r="V1007" s="20" t="str">
        <f t="shared" si="86"/>
        <v>K-150x165x100</v>
      </c>
    </row>
    <row r="1008" spans="1:22" ht="15">
      <c r="A1008" s="88" t="s">
        <v>744</v>
      </c>
      <c r="B1008" s="76" t="s">
        <v>2167</v>
      </c>
      <c r="C1008" s="2">
        <v>150</v>
      </c>
      <c r="D1008" s="2">
        <v>100</v>
      </c>
      <c r="E1008" s="2">
        <v>170</v>
      </c>
      <c r="F1008" s="2">
        <v>130</v>
      </c>
      <c r="G1008" s="21">
        <v>2.25</v>
      </c>
      <c r="H1008" s="20"/>
      <c r="I1008" s="20"/>
      <c r="J1008" s="20"/>
      <c r="K1008" s="89"/>
      <c r="L1008" s="767"/>
      <c r="M1008" s="20"/>
      <c r="N1008" s="20"/>
      <c r="O1008" s="20"/>
      <c r="P1008" s="20"/>
      <c r="Q1008" s="21"/>
      <c r="R1008" s="22" t="s">
        <v>16</v>
      </c>
      <c r="S1008" s="22">
        <v>2</v>
      </c>
      <c r="T1008" s="25">
        <v>1286</v>
      </c>
      <c r="U1008" s="22">
        <v>0</v>
      </c>
      <c r="V1008" s="20" t="str">
        <f t="shared" si="86"/>
        <v>K-150x170x100</v>
      </c>
    </row>
    <row r="1009" spans="1:22" ht="15">
      <c r="A1009" s="88" t="s">
        <v>745</v>
      </c>
      <c r="B1009" s="76" t="s">
        <v>2167</v>
      </c>
      <c r="C1009" s="2">
        <v>150</v>
      </c>
      <c r="D1009" s="2">
        <v>100</v>
      </c>
      <c r="E1009" s="2">
        <v>185</v>
      </c>
      <c r="F1009" s="2">
        <v>115</v>
      </c>
      <c r="G1009" s="21">
        <v>2.25</v>
      </c>
      <c r="H1009" s="20"/>
      <c r="I1009" s="20"/>
      <c r="J1009" s="20"/>
      <c r="K1009" s="89"/>
      <c r="L1009" s="767"/>
      <c r="M1009" s="20"/>
      <c r="N1009" s="20"/>
      <c r="O1009" s="20"/>
      <c r="P1009" s="20"/>
      <c r="Q1009" s="21"/>
      <c r="R1009" s="22" t="s">
        <v>16</v>
      </c>
      <c r="S1009" s="22">
        <v>2</v>
      </c>
      <c r="T1009" s="25">
        <v>814</v>
      </c>
      <c r="U1009" s="22">
        <v>0</v>
      </c>
      <c r="V1009" s="20" t="str">
        <f t="shared" si="86"/>
        <v>K-150x185x100</v>
      </c>
    </row>
    <row r="1010" spans="1:22" ht="15">
      <c r="A1010" s="88" t="s">
        <v>746</v>
      </c>
      <c r="B1010" s="76" t="s">
        <v>2167</v>
      </c>
      <c r="C1010" s="2">
        <v>170</v>
      </c>
      <c r="D1010" s="2">
        <v>100</v>
      </c>
      <c r="E1010" s="2">
        <v>155</v>
      </c>
      <c r="F1010" s="2">
        <v>145</v>
      </c>
      <c r="G1010" s="21">
        <v>2.5499999999999998</v>
      </c>
      <c r="H1010" s="20"/>
      <c r="I1010" s="20"/>
      <c r="J1010" s="20"/>
      <c r="K1010" s="89"/>
      <c r="L1010" s="767"/>
      <c r="M1010" s="20"/>
      <c r="N1010" s="20"/>
      <c r="O1010" s="20"/>
      <c r="P1010" s="20"/>
      <c r="Q1010" s="21"/>
      <c r="R1010" s="22" t="s">
        <v>16</v>
      </c>
      <c r="S1010" s="22">
        <v>2</v>
      </c>
      <c r="T1010" s="25">
        <v>5272</v>
      </c>
      <c r="U1010" s="22">
        <v>0</v>
      </c>
      <c r="V1010" s="20" t="str">
        <f t="shared" si="86"/>
        <v>K-170x155x100</v>
      </c>
    </row>
    <row r="1011" spans="1:22" ht="15">
      <c r="A1011" s="88" t="s">
        <v>747</v>
      </c>
      <c r="B1011" s="76" t="s">
        <v>2167</v>
      </c>
      <c r="C1011" s="2">
        <v>170</v>
      </c>
      <c r="D1011" s="2">
        <v>100</v>
      </c>
      <c r="E1011" s="2">
        <v>157.5</v>
      </c>
      <c r="F1011" s="2">
        <v>142.5</v>
      </c>
      <c r="G1011" s="21">
        <v>2.5499999999999998</v>
      </c>
      <c r="H1011" s="20"/>
      <c r="I1011" s="20"/>
      <c r="J1011" s="20"/>
      <c r="K1011" s="89"/>
      <c r="L1011" s="767"/>
      <c r="M1011" s="20"/>
      <c r="N1011" s="20"/>
      <c r="O1011" s="20"/>
      <c r="P1011" s="20"/>
      <c r="Q1011" s="21"/>
      <c r="R1011" s="22" t="s">
        <v>16</v>
      </c>
      <c r="S1011" s="22">
        <v>2</v>
      </c>
      <c r="T1011" s="25">
        <v>3573</v>
      </c>
      <c r="U1011" s="22">
        <v>0</v>
      </c>
      <c r="V1011" s="20" t="str">
        <f t="shared" si="86"/>
        <v>K-170x157,5x100</v>
      </c>
    </row>
    <row r="1012" spans="1:22" ht="15">
      <c r="A1012" s="88" t="s">
        <v>748</v>
      </c>
      <c r="B1012" s="76" t="s">
        <v>2167</v>
      </c>
      <c r="C1012" s="2">
        <v>170</v>
      </c>
      <c r="D1012" s="2">
        <v>100</v>
      </c>
      <c r="E1012" s="2">
        <v>164</v>
      </c>
      <c r="F1012" s="2">
        <v>136</v>
      </c>
      <c r="G1012" s="21">
        <v>2.5499999999999998</v>
      </c>
      <c r="H1012" s="20"/>
      <c r="I1012" s="20"/>
      <c r="J1012" s="20"/>
      <c r="K1012" s="89"/>
      <c r="L1012" s="767"/>
      <c r="M1012" s="20"/>
      <c r="N1012" s="20"/>
      <c r="O1012" s="20"/>
      <c r="P1012" s="20"/>
      <c r="Q1012" s="21"/>
      <c r="R1012" s="22" t="s">
        <v>16</v>
      </c>
      <c r="S1012" s="22">
        <v>2</v>
      </c>
      <c r="T1012" s="25">
        <v>1998</v>
      </c>
      <c r="U1012" s="22">
        <v>0</v>
      </c>
      <c r="V1012" s="20" t="str">
        <f t="shared" si="86"/>
        <v>K-170x164x100</v>
      </c>
    </row>
    <row r="1013" spans="1:22" ht="15">
      <c r="A1013" s="88" t="s">
        <v>749</v>
      </c>
      <c r="B1013" s="76" t="s">
        <v>2167</v>
      </c>
      <c r="C1013" s="2">
        <v>170</v>
      </c>
      <c r="D1013" s="2">
        <v>100</v>
      </c>
      <c r="E1013" s="2">
        <v>167.5</v>
      </c>
      <c r="F1013" s="2">
        <v>132.5</v>
      </c>
      <c r="G1013" s="21">
        <v>2.5499999999999998</v>
      </c>
      <c r="H1013" s="20"/>
      <c r="I1013" s="20"/>
      <c r="J1013" s="20"/>
      <c r="K1013" s="89"/>
      <c r="L1013" s="767"/>
      <c r="M1013" s="20"/>
      <c r="N1013" s="20"/>
      <c r="O1013" s="20"/>
      <c r="P1013" s="20"/>
      <c r="Q1013" s="21"/>
      <c r="R1013" s="22" t="s">
        <v>16</v>
      </c>
      <c r="S1013" s="22">
        <v>2</v>
      </c>
      <c r="T1013" s="25">
        <v>1636</v>
      </c>
      <c r="U1013" s="22">
        <v>0</v>
      </c>
      <c r="V1013" s="20" t="str">
        <f t="shared" si="86"/>
        <v>K-170x167,5x100</v>
      </c>
    </row>
    <row r="1014" spans="1:22" ht="15">
      <c r="A1014" s="88" t="s">
        <v>750</v>
      </c>
      <c r="B1014" s="76" t="s">
        <v>2167</v>
      </c>
      <c r="C1014" s="2">
        <v>170</v>
      </c>
      <c r="D1014" s="2">
        <v>100</v>
      </c>
      <c r="E1014" s="2">
        <v>170</v>
      </c>
      <c r="F1014" s="2">
        <v>130</v>
      </c>
      <c r="G1014" s="21">
        <v>2.5499999999999998</v>
      </c>
      <c r="H1014" s="20"/>
      <c r="I1014" s="20"/>
      <c r="J1014" s="20"/>
      <c r="K1014" s="89"/>
      <c r="L1014" s="767"/>
      <c r="M1014" s="20"/>
      <c r="N1014" s="20"/>
      <c r="O1014" s="20"/>
      <c r="P1014" s="20"/>
      <c r="Q1014" s="21"/>
      <c r="R1014" s="22" t="s">
        <v>16</v>
      </c>
      <c r="S1014" s="22">
        <v>2</v>
      </c>
      <c r="T1014" s="25">
        <v>1455</v>
      </c>
      <c r="U1014" s="22">
        <v>0</v>
      </c>
      <c r="V1014" s="20" t="str">
        <f t="shared" si="86"/>
        <v>K-170x170x100</v>
      </c>
    </row>
    <row r="1015" spans="1:22" ht="15">
      <c r="A1015" s="88" t="s">
        <v>751</v>
      </c>
      <c r="B1015" s="76" t="s">
        <v>2167</v>
      </c>
      <c r="C1015" s="2">
        <v>180</v>
      </c>
      <c r="D1015" s="2">
        <v>100</v>
      </c>
      <c r="E1015" s="2">
        <v>152</v>
      </c>
      <c r="F1015" s="2">
        <v>148</v>
      </c>
      <c r="G1015" s="21">
        <v>2.7</v>
      </c>
      <c r="H1015" s="20"/>
      <c r="I1015" s="20"/>
      <c r="J1015" s="20"/>
      <c r="K1015" s="89"/>
      <c r="L1015" s="767"/>
      <c r="M1015" s="20"/>
      <c r="N1015" s="20"/>
      <c r="O1015" s="20"/>
      <c r="P1015" s="20"/>
      <c r="Q1015" s="21"/>
      <c r="R1015" s="22" t="s">
        <v>16</v>
      </c>
      <c r="S1015" s="22">
        <v>2</v>
      </c>
      <c r="T1015" s="25">
        <v>13681</v>
      </c>
      <c r="U1015" s="22">
        <v>0</v>
      </c>
      <c r="V1015" s="20" t="str">
        <f t="shared" si="86"/>
        <v>K-180x152x100</v>
      </c>
    </row>
    <row r="1016" spans="1:22" ht="15">
      <c r="A1016" s="88" t="s">
        <v>752</v>
      </c>
      <c r="B1016" s="76" t="s">
        <v>2167</v>
      </c>
      <c r="C1016" s="2">
        <v>180</v>
      </c>
      <c r="D1016" s="2">
        <v>100</v>
      </c>
      <c r="E1016" s="2">
        <v>153</v>
      </c>
      <c r="F1016" s="2">
        <v>147</v>
      </c>
      <c r="G1016" s="21">
        <v>2.7</v>
      </c>
      <c r="H1016" s="20"/>
      <c r="I1016" s="20"/>
      <c r="J1016" s="20"/>
      <c r="K1016" s="89"/>
      <c r="L1016" s="767"/>
      <c r="M1016" s="20"/>
      <c r="N1016" s="20"/>
      <c r="O1016" s="20"/>
      <c r="P1016" s="20"/>
      <c r="Q1016" s="21"/>
      <c r="R1016" s="22" t="s">
        <v>16</v>
      </c>
      <c r="S1016" s="22">
        <v>2</v>
      </c>
      <c r="T1016" s="25">
        <v>9181</v>
      </c>
      <c r="U1016" s="22">
        <v>0</v>
      </c>
      <c r="V1016" s="20" t="str">
        <f t="shared" si="86"/>
        <v>K-180x153x100</v>
      </c>
    </row>
    <row r="1017" spans="1:22" ht="15">
      <c r="A1017" s="88" t="s">
        <v>753</v>
      </c>
      <c r="B1017" s="76" t="s">
        <v>2167</v>
      </c>
      <c r="C1017" s="2">
        <v>180</v>
      </c>
      <c r="D1017" s="2">
        <v>100</v>
      </c>
      <c r="E1017" s="2">
        <v>154</v>
      </c>
      <c r="F1017" s="2">
        <v>146</v>
      </c>
      <c r="G1017" s="21">
        <v>2.7</v>
      </c>
      <c r="H1017" s="20"/>
      <c r="I1017" s="20"/>
      <c r="J1017" s="20"/>
      <c r="K1017" s="89"/>
      <c r="L1017" s="767"/>
      <c r="M1017" s="20"/>
      <c r="N1017" s="20"/>
      <c r="O1017" s="20"/>
      <c r="P1017" s="20"/>
      <c r="Q1017" s="21"/>
      <c r="R1017" s="22" t="s">
        <v>16</v>
      </c>
      <c r="S1017" s="22">
        <v>2</v>
      </c>
      <c r="T1017" s="25">
        <v>6932</v>
      </c>
      <c r="U1017" s="22">
        <v>0</v>
      </c>
      <c r="V1017" s="20" t="str">
        <f t="shared" si="86"/>
        <v>K-180x154x100</v>
      </c>
    </row>
    <row r="1018" spans="1:22" ht="15">
      <c r="A1018" s="88" t="s">
        <v>754</v>
      </c>
      <c r="B1018" s="76" t="s">
        <v>2167</v>
      </c>
      <c r="C1018" s="2">
        <v>180</v>
      </c>
      <c r="D1018" s="2">
        <v>100</v>
      </c>
      <c r="E1018" s="2">
        <v>158</v>
      </c>
      <c r="F1018" s="2">
        <v>142</v>
      </c>
      <c r="G1018" s="21">
        <v>2.7</v>
      </c>
      <c r="H1018" s="20"/>
      <c r="I1018" s="20"/>
      <c r="J1018" s="20"/>
      <c r="K1018" s="89"/>
      <c r="L1018" s="767"/>
      <c r="M1018" s="20"/>
      <c r="N1018" s="20"/>
      <c r="O1018" s="20"/>
      <c r="P1018" s="20"/>
      <c r="Q1018" s="21"/>
      <c r="R1018" s="22" t="s">
        <v>16</v>
      </c>
      <c r="S1018" s="22">
        <v>2</v>
      </c>
      <c r="T1018" s="25">
        <v>3559</v>
      </c>
      <c r="U1018" s="22">
        <v>0</v>
      </c>
      <c r="V1018" s="20" t="str">
        <f t="shared" si="86"/>
        <v>K-180x158x100</v>
      </c>
    </row>
    <row r="1019" spans="1:22" ht="15">
      <c r="A1019" s="88" t="s">
        <v>755</v>
      </c>
      <c r="B1019" s="76" t="s">
        <v>2167</v>
      </c>
      <c r="C1019" s="2">
        <v>180</v>
      </c>
      <c r="D1019" s="2">
        <v>100</v>
      </c>
      <c r="E1019" s="2">
        <v>160</v>
      </c>
      <c r="F1019" s="2">
        <v>140</v>
      </c>
      <c r="G1019" s="21">
        <v>2.7</v>
      </c>
      <c r="H1019" s="20"/>
      <c r="I1019" s="20"/>
      <c r="J1019" s="20"/>
      <c r="K1019" s="89"/>
      <c r="L1019" s="767"/>
      <c r="M1019" s="20"/>
      <c r="N1019" s="20"/>
      <c r="O1019" s="20"/>
      <c r="P1019" s="20"/>
      <c r="Q1019" s="21"/>
      <c r="R1019" s="22" t="s">
        <v>16</v>
      </c>
      <c r="S1019" s="22">
        <v>2</v>
      </c>
      <c r="T1019" s="25">
        <v>2884</v>
      </c>
      <c r="U1019" s="22">
        <v>0</v>
      </c>
      <c r="V1019" s="20" t="str">
        <f t="shared" si="86"/>
        <v>K-180x160x100</v>
      </c>
    </row>
    <row r="1020" spans="1:22" ht="15">
      <c r="A1020" s="88" t="s">
        <v>756</v>
      </c>
      <c r="B1020" s="76" t="s">
        <v>2167</v>
      </c>
      <c r="C1020" s="2">
        <v>180</v>
      </c>
      <c r="D1020" s="2">
        <v>100</v>
      </c>
      <c r="E1020" s="2">
        <v>165</v>
      </c>
      <c r="F1020" s="2">
        <v>135</v>
      </c>
      <c r="G1020" s="21">
        <v>2.7</v>
      </c>
      <c r="H1020" s="20"/>
      <c r="I1020" s="20"/>
      <c r="J1020" s="20"/>
      <c r="K1020" s="89"/>
      <c r="L1020" s="767"/>
      <c r="M1020" s="20"/>
      <c r="N1020" s="20"/>
      <c r="O1020" s="20"/>
      <c r="P1020" s="20"/>
      <c r="Q1020" s="21"/>
      <c r="R1020" s="22" t="s">
        <v>16</v>
      </c>
      <c r="S1020" s="22">
        <v>2</v>
      </c>
      <c r="T1020" s="25">
        <v>1987</v>
      </c>
      <c r="U1020" s="22">
        <v>0</v>
      </c>
      <c r="V1020" s="20" t="str">
        <f t="shared" si="86"/>
        <v>K-180x165x100</v>
      </c>
    </row>
    <row r="1021" spans="1:22" ht="15">
      <c r="A1021" s="88" t="s">
        <v>757</v>
      </c>
      <c r="B1021" s="76" t="s">
        <v>2167</v>
      </c>
      <c r="C1021" s="2">
        <v>180</v>
      </c>
      <c r="D1021" s="2">
        <v>100</v>
      </c>
      <c r="E1021" s="2">
        <v>170</v>
      </c>
      <c r="F1021" s="2">
        <v>130</v>
      </c>
      <c r="G1021" s="21">
        <v>2.7</v>
      </c>
      <c r="H1021" s="20"/>
      <c r="I1021" s="20"/>
      <c r="J1021" s="20"/>
      <c r="K1021" s="89"/>
      <c r="L1021" s="767"/>
      <c r="M1021" s="20"/>
      <c r="N1021" s="20"/>
      <c r="O1021" s="20"/>
      <c r="P1021" s="20"/>
      <c r="Q1021" s="21"/>
      <c r="R1021" s="22" t="s">
        <v>16</v>
      </c>
      <c r="S1021" s="22">
        <v>2</v>
      </c>
      <c r="T1021" s="25">
        <v>1539</v>
      </c>
      <c r="U1021" s="22">
        <v>0</v>
      </c>
      <c r="V1021" s="20" t="str">
        <f t="shared" si="86"/>
        <v>K-180x170x100</v>
      </c>
    </row>
    <row r="1022" spans="1:22" ht="15">
      <c r="A1022" s="88" t="s">
        <v>758</v>
      </c>
      <c r="B1022" s="76" t="s">
        <v>2167</v>
      </c>
      <c r="C1022" s="2">
        <v>180</v>
      </c>
      <c r="D1022" s="2">
        <v>100</v>
      </c>
      <c r="E1022" s="2">
        <v>174</v>
      </c>
      <c r="F1022" s="2">
        <v>126</v>
      </c>
      <c r="G1022" s="21">
        <v>2.7</v>
      </c>
      <c r="H1022" s="20"/>
      <c r="I1022" s="20"/>
      <c r="J1022" s="20"/>
      <c r="K1022" s="89"/>
      <c r="L1022" s="767"/>
      <c r="M1022" s="20"/>
      <c r="N1022" s="20"/>
      <c r="O1022" s="20"/>
      <c r="P1022" s="20"/>
      <c r="Q1022" s="21"/>
      <c r="R1022" s="22" t="s">
        <v>16</v>
      </c>
      <c r="S1022" s="22">
        <v>2</v>
      </c>
      <c r="T1022" s="25">
        <v>1317</v>
      </c>
      <c r="U1022" s="22">
        <v>0</v>
      </c>
      <c r="V1022" s="20" t="str">
        <f t="shared" si="86"/>
        <v>K-180x174x100</v>
      </c>
    </row>
    <row r="1023" spans="1:22" ht="15">
      <c r="A1023" s="88" t="s">
        <v>759</v>
      </c>
      <c r="B1023" s="76" t="s">
        <v>2167</v>
      </c>
      <c r="C1023" s="2">
        <v>200</v>
      </c>
      <c r="D1023" s="2">
        <v>100</v>
      </c>
      <c r="E1023" s="2">
        <v>150</v>
      </c>
      <c r="F1023" s="2">
        <v>150</v>
      </c>
      <c r="G1023" s="21">
        <v>3</v>
      </c>
      <c r="H1023" s="20"/>
      <c r="I1023" s="20"/>
      <c r="J1023" s="20"/>
      <c r="K1023" s="89"/>
      <c r="L1023" s="767"/>
      <c r="M1023" s="20"/>
      <c r="N1023" s="20"/>
      <c r="O1023" s="20"/>
      <c r="P1023" s="20"/>
      <c r="Q1023" s="21"/>
      <c r="R1023" s="22" t="s">
        <v>16</v>
      </c>
      <c r="S1023" s="22">
        <v>2</v>
      </c>
      <c r="T1023" s="25" t="s">
        <v>16</v>
      </c>
      <c r="U1023" s="22">
        <v>0</v>
      </c>
      <c r="V1023" s="20" t="str">
        <f t="shared" si="86"/>
        <v>K-200x150x100</v>
      </c>
    </row>
    <row r="1024" spans="1:22" ht="15">
      <c r="A1024" s="88" t="s">
        <v>760</v>
      </c>
      <c r="B1024" s="76" t="s">
        <v>2167</v>
      </c>
      <c r="C1024" s="2">
        <v>200</v>
      </c>
      <c r="D1024" s="2">
        <v>100</v>
      </c>
      <c r="E1024" s="2">
        <v>154</v>
      </c>
      <c r="F1024" s="2">
        <v>146</v>
      </c>
      <c r="G1024" s="21">
        <v>3</v>
      </c>
      <c r="H1024" s="20"/>
      <c r="I1024" s="20"/>
      <c r="J1024" s="20"/>
      <c r="K1024" s="89"/>
      <c r="L1024" s="767"/>
      <c r="M1024" s="20"/>
      <c r="N1024" s="20"/>
      <c r="O1024" s="20"/>
      <c r="P1024" s="20"/>
      <c r="Q1024" s="21"/>
      <c r="R1024" s="22" t="s">
        <v>16</v>
      </c>
      <c r="S1024" s="22">
        <v>2</v>
      </c>
      <c r="T1024" s="25">
        <v>7702</v>
      </c>
      <c r="U1024" s="22">
        <v>0</v>
      </c>
      <c r="V1024" s="20" t="str">
        <f t="shared" ref="V1024:V1051" si="87">B1024&amp;"-"&amp;C1024&amp;"x"&amp;E1024&amp;"x"&amp;D1024</f>
        <v>K-200x154x100</v>
      </c>
    </row>
    <row r="1025" spans="1:22" ht="15">
      <c r="A1025" s="88" t="s">
        <v>761</v>
      </c>
      <c r="B1025" s="76" t="s">
        <v>2167</v>
      </c>
      <c r="C1025" s="2">
        <v>200</v>
      </c>
      <c r="D1025" s="2">
        <v>100</v>
      </c>
      <c r="E1025" s="2">
        <v>155</v>
      </c>
      <c r="F1025" s="2">
        <v>145</v>
      </c>
      <c r="G1025" s="21">
        <v>3</v>
      </c>
      <c r="H1025" s="20"/>
      <c r="I1025" s="20"/>
      <c r="J1025" s="20"/>
      <c r="K1025" s="89"/>
      <c r="L1025" s="767"/>
      <c r="M1025" s="20"/>
      <c r="N1025" s="20"/>
      <c r="O1025" s="20"/>
      <c r="P1025" s="20"/>
      <c r="Q1025" s="21"/>
      <c r="R1025" s="22" t="s">
        <v>16</v>
      </c>
      <c r="S1025" s="22">
        <v>2</v>
      </c>
      <c r="T1025" s="25">
        <v>6202</v>
      </c>
      <c r="U1025" s="22">
        <v>0</v>
      </c>
      <c r="V1025" s="20" t="str">
        <f t="shared" si="87"/>
        <v>K-200x155x100</v>
      </c>
    </row>
    <row r="1026" spans="1:22" ht="15">
      <c r="A1026" s="88" t="s">
        <v>762</v>
      </c>
      <c r="B1026" s="76" t="s">
        <v>2167</v>
      </c>
      <c r="C1026" s="2">
        <v>200</v>
      </c>
      <c r="D1026" s="2">
        <v>100</v>
      </c>
      <c r="E1026" s="2">
        <v>158</v>
      </c>
      <c r="F1026" s="2">
        <v>142</v>
      </c>
      <c r="G1026" s="21">
        <v>3</v>
      </c>
      <c r="H1026" s="20"/>
      <c r="I1026" s="20"/>
      <c r="J1026" s="20"/>
      <c r="K1026" s="89"/>
      <c r="L1026" s="767"/>
      <c r="M1026" s="20"/>
      <c r="N1026" s="20"/>
      <c r="O1026" s="20"/>
      <c r="P1026" s="20"/>
      <c r="Q1026" s="21"/>
      <c r="R1026" s="22" t="s">
        <v>16</v>
      </c>
      <c r="S1026" s="22">
        <v>2</v>
      </c>
      <c r="T1026" s="25">
        <v>3953</v>
      </c>
      <c r="U1026" s="22">
        <v>0</v>
      </c>
      <c r="V1026" s="20" t="str">
        <f t="shared" si="87"/>
        <v>K-200x158x100</v>
      </c>
    </row>
    <row r="1027" spans="1:22" ht="15">
      <c r="A1027" s="88" t="s">
        <v>763</v>
      </c>
      <c r="B1027" s="76" t="s">
        <v>2167</v>
      </c>
      <c r="C1027" s="2">
        <v>200</v>
      </c>
      <c r="D1027" s="2">
        <v>100</v>
      </c>
      <c r="E1027" s="2">
        <v>159.5</v>
      </c>
      <c r="F1027" s="2">
        <v>140.5</v>
      </c>
      <c r="G1027" s="21">
        <v>3</v>
      </c>
      <c r="H1027" s="20"/>
      <c r="I1027" s="20"/>
      <c r="J1027" s="20"/>
      <c r="K1027" s="89"/>
      <c r="L1027" s="767"/>
      <c r="M1027" s="20"/>
      <c r="N1027" s="20"/>
      <c r="O1027" s="20"/>
      <c r="P1027" s="20"/>
      <c r="Q1027" s="21"/>
      <c r="R1027" s="22" t="s">
        <v>16</v>
      </c>
      <c r="S1027" s="22">
        <v>2</v>
      </c>
      <c r="T1027" s="25">
        <v>3362</v>
      </c>
      <c r="U1027" s="22">
        <v>0</v>
      </c>
      <c r="V1027" s="20" t="str">
        <f t="shared" si="87"/>
        <v>K-200x159,5x100</v>
      </c>
    </row>
    <row r="1028" spans="1:22" ht="15">
      <c r="A1028" s="88" t="s">
        <v>764</v>
      </c>
      <c r="B1028" s="76" t="s">
        <v>2167</v>
      </c>
      <c r="C1028" s="2">
        <v>200</v>
      </c>
      <c r="D1028" s="2">
        <v>100</v>
      </c>
      <c r="E1028" s="2">
        <v>165</v>
      </c>
      <c r="F1028" s="2">
        <v>135</v>
      </c>
      <c r="G1028" s="21">
        <v>3</v>
      </c>
      <c r="H1028" s="20"/>
      <c r="I1028" s="20"/>
      <c r="J1028" s="20"/>
      <c r="K1028" s="89"/>
      <c r="L1028" s="767"/>
      <c r="M1028" s="20"/>
      <c r="N1028" s="20"/>
      <c r="O1028" s="20"/>
      <c r="P1028" s="20"/>
      <c r="Q1028" s="21"/>
      <c r="R1028" s="22" t="s">
        <v>16</v>
      </c>
      <c r="S1028" s="22">
        <v>2</v>
      </c>
      <c r="T1028" s="25">
        <v>2206</v>
      </c>
      <c r="U1028" s="22">
        <v>0</v>
      </c>
      <c r="V1028" s="20" t="str">
        <f t="shared" si="87"/>
        <v>K-200x165x100</v>
      </c>
    </row>
    <row r="1029" spans="1:22" ht="15">
      <c r="A1029" s="88" t="s">
        <v>765</v>
      </c>
      <c r="B1029" s="76" t="s">
        <v>2167</v>
      </c>
      <c r="C1029" s="2">
        <v>200</v>
      </c>
      <c r="D1029" s="2">
        <v>100</v>
      </c>
      <c r="E1029" s="2">
        <v>167</v>
      </c>
      <c r="F1029" s="2">
        <v>133</v>
      </c>
      <c r="G1029" s="21">
        <v>3</v>
      </c>
      <c r="H1029" s="20"/>
      <c r="I1029" s="20"/>
      <c r="J1029" s="20"/>
      <c r="K1029" s="89"/>
      <c r="L1029" s="767"/>
      <c r="M1029" s="20"/>
      <c r="N1029" s="20"/>
      <c r="O1029" s="20"/>
      <c r="P1029" s="20"/>
      <c r="Q1029" s="21"/>
      <c r="R1029" s="22" t="s">
        <v>16</v>
      </c>
      <c r="S1029" s="22">
        <v>2</v>
      </c>
      <c r="T1029" s="25">
        <v>1972</v>
      </c>
      <c r="U1029" s="22">
        <v>0</v>
      </c>
      <c r="V1029" s="20" t="str">
        <f t="shared" si="87"/>
        <v>K-200x167x100</v>
      </c>
    </row>
    <row r="1030" spans="1:22" ht="15">
      <c r="A1030" s="88" t="s">
        <v>766</v>
      </c>
      <c r="B1030" s="76" t="s">
        <v>2167</v>
      </c>
      <c r="C1030" s="2">
        <v>200</v>
      </c>
      <c r="D1030" s="2">
        <v>100</v>
      </c>
      <c r="E1030" s="2">
        <v>180</v>
      </c>
      <c r="F1030" s="2">
        <v>120</v>
      </c>
      <c r="G1030" s="21">
        <v>3</v>
      </c>
      <c r="H1030" s="20"/>
      <c r="I1030" s="20"/>
      <c r="J1030" s="20"/>
      <c r="K1030" s="89"/>
      <c r="L1030" s="767"/>
      <c r="M1030" s="20"/>
      <c r="N1030" s="20"/>
      <c r="O1030" s="20"/>
      <c r="P1030" s="20"/>
      <c r="Q1030" s="21"/>
      <c r="R1030" s="22" t="s">
        <v>16</v>
      </c>
      <c r="S1030" s="22">
        <v>2</v>
      </c>
      <c r="T1030" s="25">
        <v>1213</v>
      </c>
      <c r="U1030" s="22">
        <v>0</v>
      </c>
      <c r="V1030" s="20" t="str">
        <f t="shared" si="87"/>
        <v>K-200x180x100</v>
      </c>
    </row>
    <row r="1031" spans="1:22" ht="15">
      <c r="A1031" s="88" t="s">
        <v>767</v>
      </c>
      <c r="B1031" s="76" t="s">
        <v>2167</v>
      </c>
      <c r="C1031" s="2">
        <v>200</v>
      </c>
      <c r="D1031" s="2">
        <v>100</v>
      </c>
      <c r="E1031" s="2">
        <v>185</v>
      </c>
      <c r="F1031" s="2">
        <v>115</v>
      </c>
      <c r="G1031" s="21">
        <v>3</v>
      </c>
      <c r="H1031" s="20"/>
      <c r="I1031" s="20"/>
      <c r="J1031" s="20"/>
      <c r="K1031" s="89"/>
      <c r="L1031" s="767"/>
      <c r="M1031" s="20"/>
      <c r="N1031" s="20"/>
      <c r="O1031" s="20"/>
      <c r="P1031" s="20"/>
      <c r="Q1031" s="21"/>
      <c r="R1031" s="22" t="s">
        <v>16</v>
      </c>
      <c r="S1031" s="22">
        <v>2</v>
      </c>
      <c r="T1031" s="25">
        <v>1073</v>
      </c>
      <c r="U1031" s="22">
        <v>0</v>
      </c>
      <c r="V1031" s="20" t="str">
        <f t="shared" si="87"/>
        <v>K-200x185x100</v>
      </c>
    </row>
    <row r="1032" spans="1:22" ht="15">
      <c r="A1032" s="88" t="s">
        <v>768</v>
      </c>
      <c r="B1032" s="76" t="s">
        <v>2167</v>
      </c>
      <c r="C1032" s="2">
        <v>220</v>
      </c>
      <c r="D1032" s="2">
        <v>100</v>
      </c>
      <c r="E1032" s="2">
        <v>154</v>
      </c>
      <c r="F1032" s="2">
        <v>146</v>
      </c>
      <c r="G1032" s="21">
        <v>3.3</v>
      </c>
      <c r="H1032" s="20"/>
      <c r="I1032" s="20"/>
      <c r="J1032" s="20"/>
      <c r="K1032" s="89"/>
      <c r="L1032" s="767"/>
      <c r="M1032" s="20"/>
      <c r="N1032" s="20"/>
      <c r="O1032" s="20"/>
      <c r="P1032" s="20"/>
      <c r="Q1032" s="21"/>
      <c r="R1032" s="22" t="s">
        <v>16</v>
      </c>
      <c r="S1032" s="22">
        <v>2</v>
      </c>
      <c r="T1032" s="25">
        <v>8471</v>
      </c>
      <c r="U1032" s="22">
        <v>0</v>
      </c>
      <c r="V1032" s="20" t="str">
        <f t="shared" si="87"/>
        <v>K-220x154x100</v>
      </c>
    </row>
    <row r="1033" spans="1:22" ht="15">
      <c r="A1033" s="88" t="s">
        <v>769</v>
      </c>
      <c r="B1033" s="76" t="s">
        <v>2167</v>
      </c>
      <c r="C1033" s="2">
        <v>220</v>
      </c>
      <c r="D1033" s="2">
        <v>100</v>
      </c>
      <c r="E1033" s="2">
        <v>159.5</v>
      </c>
      <c r="F1033" s="2">
        <v>140.5</v>
      </c>
      <c r="G1033" s="21">
        <v>3.3</v>
      </c>
      <c r="H1033" s="20"/>
      <c r="I1033" s="20"/>
      <c r="J1033" s="20"/>
      <c r="K1033" s="89"/>
      <c r="L1033" s="767"/>
      <c r="M1033" s="20"/>
      <c r="N1033" s="20"/>
      <c r="O1033" s="20"/>
      <c r="P1033" s="20"/>
      <c r="Q1033" s="21"/>
      <c r="R1033" s="22" t="s">
        <v>16</v>
      </c>
      <c r="S1033" s="22">
        <v>2</v>
      </c>
      <c r="T1033" s="25">
        <v>3697</v>
      </c>
      <c r="U1033" s="22">
        <v>0</v>
      </c>
      <c r="V1033" s="20" t="str">
        <f t="shared" si="87"/>
        <v>K-220x159,5x100</v>
      </c>
    </row>
    <row r="1034" spans="1:22" ht="15">
      <c r="A1034" s="88" t="s">
        <v>770</v>
      </c>
      <c r="B1034" s="76" t="s">
        <v>2167</v>
      </c>
      <c r="C1034" s="2">
        <v>220</v>
      </c>
      <c r="D1034" s="2">
        <v>100</v>
      </c>
      <c r="E1034" s="2">
        <v>168.5</v>
      </c>
      <c r="F1034" s="2">
        <v>131.5</v>
      </c>
      <c r="G1034" s="21">
        <v>3.3</v>
      </c>
      <c r="H1034" s="20"/>
      <c r="I1034" s="20"/>
      <c r="J1034" s="20"/>
      <c r="K1034" s="89"/>
      <c r="L1034" s="767"/>
      <c r="M1034" s="20"/>
      <c r="N1034" s="20"/>
      <c r="O1034" s="20"/>
      <c r="P1034" s="20"/>
      <c r="Q1034" s="21"/>
      <c r="R1034" s="22" t="s">
        <v>16</v>
      </c>
      <c r="S1034" s="22">
        <v>2</v>
      </c>
      <c r="T1034" s="25">
        <v>2011</v>
      </c>
      <c r="U1034" s="22">
        <v>0</v>
      </c>
      <c r="V1034" s="20" t="str">
        <f t="shared" si="87"/>
        <v>K-220x168,5x100</v>
      </c>
    </row>
    <row r="1035" spans="1:22" ht="15">
      <c r="A1035" s="88" t="s">
        <v>771</v>
      </c>
      <c r="B1035" s="76" t="s">
        <v>2167</v>
      </c>
      <c r="C1035" s="2">
        <v>220</v>
      </c>
      <c r="D1035" s="2">
        <v>100</v>
      </c>
      <c r="E1035" s="2">
        <v>170</v>
      </c>
      <c r="F1035" s="2">
        <v>130</v>
      </c>
      <c r="G1035" s="21">
        <v>3.3</v>
      </c>
      <c r="H1035" s="20"/>
      <c r="I1035" s="20"/>
      <c r="J1035" s="20"/>
      <c r="K1035" s="89"/>
      <c r="L1035" s="767"/>
      <c r="M1035" s="20"/>
      <c r="N1035" s="20"/>
      <c r="O1035" s="20"/>
      <c r="P1035" s="20"/>
      <c r="Q1035" s="21"/>
      <c r="R1035" s="22" t="s">
        <v>16</v>
      </c>
      <c r="S1035" s="22">
        <v>2</v>
      </c>
      <c r="T1035" s="25">
        <v>1878</v>
      </c>
      <c r="U1035" s="22">
        <v>0</v>
      </c>
      <c r="V1035" s="20" t="str">
        <f t="shared" si="87"/>
        <v>K-220x170x100</v>
      </c>
    </row>
    <row r="1036" spans="1:22" ht="15">
      <c r="A1036" s="291" t="s">
        <v>772</v>
      </c>
      <c r="B1036" s="76" t="s">
        <v>2167</v>
      </c>
      <c r="C1036" s="2">
        <v>220</v>
      </c>
      <c r="D1036" s="2">
        <v>100</v>
      </c>
      <c r="E1036" s="2">
        <v>179.5</v>
      </c>
      <c r="F1036" s="2">
        <v>120.5</v>
      </c>
      <c r="G1036" s="21">
        <v>3.3</v>
      </c>
      <c r="H1036" s="20"/>
      <c r="I1036" s="20"/>
      <c r="J1036" s="20"/>
      <c r="K1036" s="89"/>
      <c r="L1036" s="767"/>
      <c r="M1036" s="20"/>
      <c r="N1036" s="20"/>
      <c r="O1036" s="20"/>
      <c r="P1036" s="20"/>
      <c r="Q1036" s="21"/>
      <c r="R1036" s="22" t="s">
        <v>16</v>
      </c>
      <c r="S1036" s="22">
        <v>2</v>
      </c>
      <c r="T1036" s="25">
        <v>1351</v>
      </c>
      <c r="U1036" s="22">
        <v>0</v>
      </c>
      <c r="V1036" s="20" t="str">
        <f t="shared" si="87"/>
        <v>K-220x179,5x100</v>
      </c>
    </row>
    <row r="1037" spans="1:22" ht="15">
      <c r="A1037" s="88" t="s">
        <v>773</v>
      </c>
      <c r="B1037" s="76" t="s">
        <v>2167</v>
      </c>
      <c r="C1037" s="2">
        <v>230</v>
      </c>
      <c r="D1037" s="2">
        <v>100</v>
      </c>
      <c r="E1037" s="2">
        <v>150</v>
      </c>
      <c r="F1037" s="2">
        <v>150</v>
      </c>
      <c r="G1037" s="21">
        <v>3.45</v>
      </c>
      <c r="H1037" s="20"/>
      <c r="I1037" s="20"/>
      <c r="J1037" s="20"/>
      <c r="K1037" s="89"/>
      <c r="L1037" s="767"/>
      <c r="M1037" s="20"/>
      <c r="N1037" s="20"/>
      <c r="O1037" s="20"/>
      <c r="P1037" s="20"/>
      <c r="Q1037" s="21"/>
      <c r="R1037" s="22" t="s">
        <v>16</v>
      </c>
      <c r="S1037" s="22">
        <v>2</v>
      </c>
      <c r="T1037" s="25" t="s">
        <v>16</v>
      </c>
      <c r="U1037" s="22">
        <v>0</v>
      </c>
      <c r="V1037" s="20" t="str">
        <f t="shared" si="87"/>
        <v>K-230x150x100</v>
      </c>
    </row>
    <row r="1038" spans="1:22" ht="15">
      <c r="A1038" s="88" t="s">
        <v>774</v>
      </c>
      <c r="B1038" s="76" t="s">
        <v>2167</v>
      </c>
      <c r="C1038" s="2">
        <v>230</v>
      </c>
      <c r="D1038" s="2">
        <v>100</v>
      </c>
      <c r="E1038" s="2">
        <v>154</v>
      </c>
      <c r="F1038" s="2">
        <v>146</v>
      </c>
      <c r="G1038" s="21">
        <v>3.45</v>
      </c>
      <c r="H1038" s="20"/>
      <c r="I1038" s="20"/>
      <c r="J1038" s="20"/>
      <c r="K1038" s="89"/>
      <c r="L1038" s="767"/>
      <c r="M1038" s="20"/>
      <c r="N1038" s="20"/>
      <c r="O1038" s="20"/>
      <c r="P1038" s="20"/>
      <c r="Q1038" s="21"/>
      <c r="R1038" s="22" t="s">
        <v>16</v>
      </c>
      <c r="S1038" s="22">
        <v>2</v>
      </c>
      <c r="T1038" s="25">
        <v>8856</v>
      </c>
      <c r="U1038" s="22">
        <v>0</v>
      </c>
      <c r="V1038" s="20" t="str">
        <f t="shared" si="87"/>
        <v>K-230x154x100</v>
      </c>
    </row>
    <row r="1039" spans="1:22" ht="15">
      <c r="A1039" s="88" t="s">
        <v>775</v>
      </c>
      <c r="B1039" s="76" t="s">
        <v>2167</v>
      </c>
      <c r="C1039" s="2">
        <v>230</v>
      </c>
      <c r="D1039" s="2">
        <v>100</v>
      </c>
      <c r="E1039" s="2">
        <v>158</v>
      </c>
      <c r="F1039" s="2">
        <v>142</v>
      </c>
      <c r="G1039" s="21">
        <v>3.45</v>
      </c>
      <c r="H1039" s="20"/>
      <c r="I1039" s="20"/>
      <c r="J1039" s="20"/>
      <c r="K1039" s="89"/>
      <c r="L1039" s="767"/>
      <c r="M1039" s="20"/>
      <c r="N1039" s="20"/>
      <c r="O1039" s="20"/>
      <c r="P1039" s="20"/>
      <c r="Q1039" s="21"/>
      <c r="R1039" s="22" t="s">
        <v>16</v>
      </c>
      <c r="S1039" s="22">
        <v>2</v>
      </c>
      <c r="T1039" s="25">
        <v>4545</v>
      </c>
      <c r="U1039" s="22">
        <v>0</v>
      </c>
      <c r="V1039" s="20" t="str">
        <f t="shared" si="87"/>
        <v>K-230x158x100</v>
      </c>
    </row>
    <row r="1040" spans="1:22" ht="15">
      <c r="A1040" s="88" t="s">
        <v>776</v>
      </c>
      <c r="B1040" s="76" t="s">
        <v>2167</v>
      </c>
      <c r="C1040" s="2">
        <v>230</v>
      </c>
      <c r="D1040" s="2">
        <v>100</v>
      </c>
      <c r="E1040" s="2">
        <v>160</v>
      </c>
      <c r="F1040" s="2">
        <v>140</v>
      </c>
      <c r="G1040" s="21">
        <v>3.45</v>
      </c>
      <c r="H1040" s="20"/>
      <c r="I1040" s="20"/>
      <c r="J1040" s="20"/>
      <c r="K1040" s="89"/>
      <c r="L1040" s="767"/>
      <c r="M1040" s="20"/>
      <c r="N1040" s="20"/>
      <c r="O1040" s="20"/>
      <c r="P1040" s="20"/>
      <c r="Q1040" s="21"/>
      <c r="R1040" s="22" t="s">
        <v>16</v>
      </c>
      <c r="S1040" s="22">
        <v>2</v>
      </c>
      <c r="T1040" s="25">
        <v>3683</v>
      </c>
      <c r="U1040" s="22">
        <v>0</v>
      </c>
      <c r="V1040" s="20" t="str">
        <f t="shared" si="87"/>
        <v>K-230x160x100</v>
      </c>
    </row>
    <row r="1041" spans="1:22" ht="15">
      <c r="A1041" s="88" t="s">
        <v>777</v>
      </c>
      <c r="B1041" s="76" t="s">
        <v>2167</v>
      </c>
      <c r="C1041" s="2">
        <v>230</v>
      </c>
      <c r="D1041" s="2">
        <v>100</v>
      </c>
      <c r="E1041" s="2">
        <v>165</v>
      </c>
      <c r="F1041" s="2">
        <v>135</v>
      </c>
      <c r="G1041" s="21">
        <v>3.45</v>
      </c>
      <c r="H1041" s="20"/>
      <c r="I1041" s="20"/>
      <c r="J1041" s="20"/>
      <c r="K1041" s="89"/>
      <c r="L1041" s="767"/>
      <c r="M1041" s="20"/>
      <c r="N1041" s="20"/>
      <c r="O1041" s="20"/>
      <c r="P1041" s="20"/>
      <c r="Q1041" s="21"/>
      <c r="R1041" s="22" t="s">
        <v>16</v>
      </c>
      <c r="S1041" s="22">
        <v>2</v>
      </c>
      <c r="T1041" s="25">
        <v>2535</v>
      </c>
      <c r="U1041" s="22">
        <v>0</v>
      </c>
      <c r="V1041" s="20" t="str">
        <f t="shared" si="87"/>
        <v>K-230x165x100</v>
      </c>
    </row>
    <row r="1042" spans="1:22" ht="15">
      <c r="A1042" s="88" t="s">
        <v>778</v>
      </c>
      <c r="B1042" s="76" t="s">
        <v>2167</v>
      </c>
      <c r="C1042" s="2">
        <v>230</v>
      </c>
      <c r="D1042" s="2">
        <v>100</v>
      </c>
      <c r="E1042" s="2">
        <v>170</v>
      </c>
      <c r="F1042" s="2">
        <v>130</v>
      </c>
      <c r="G1042" s="21">
        <v>3.45</v>
      </c>
      <c r="H1042" s="20"/>
      <c r="I1042" s="20"/>
      <c r="J1042" s="20"/>
      <c r="K1042" s="89"/>
      <c r="L1042" s="767"/>
      <c r="M1042" s="20"/>
      <c r="N1042" s="20"/>
      <c r="O1042" s="20"/>
      <c r="P1042" s="20"/>
      <c r="Q1042" s="21"/>
      <c r="R1042" s="22" t="s">
        <v>16</v>
      </c>
      <c r="S1042" s="22">
        <v>2</v>
      </c>
      <c r="T1042" s="25">
        <v>1962</v>
      </c>
      <c r="U1042" s="22">
        <v>0</v>
      </c>
      <c r="V1042" s="20" t="str">
        <f t="shared" si="87"/>
        <v>K-230x170x100</v>
      </c>
    </row>
    <row r="1043" spans="1:22" ht="15">
      <c r="A1043" s="88" t="s">
        <v>779</v>
      </c>
      <c r="B1043" s="76" t="s">
        <v>2167</v>
      </c>
      <c r="C1043" s="2">
        <v>230</v>
      </c>
      <c r="D1043" s="2">
        <v>100</v>
      </c>
      <c r="E1043" s="2">
        <v>175</v>
      </c>
      <c r="F1043" s="2">
        <v>125</v>
      </c>
      <c r="G1043" s="21">
        <v>3.45</v>
      </c>
      <c r="H1043" s="20"/>
      <c r="I1043" s="20"/>
      <c r="J1043" s="20"/>
      <c r="K1043" s="89"/>
      <c r="L1043" s="767"/>
      <c r="M1043" s="20"/>
      <c r="N1043" s="20"/>
      <c r="O1043" s="20"/>
      <c r="P1043" s="20"/>
      <c r="Q1043" s="21"/>
      <c r="R1043" s="22" t="s">
        <v>16</v>
      </c>
      <c r="S1043" s="22">
        <v>2</v>
      </c>
      <c r="T1043" s="25">
        <v>1619</v>
      </c>
      <c r="U1043" s="22">
        <v>0</v>
      </c>
      <c r="V1043" s="20" t="str">
        <f t="shared" si="87"/>
        <v>K-230x175x100</v>
      </c>
    </row>
    <row r="1044" spans="1:22" ht="15">
      <c r="A1044" s="88" t="s">
        <v>780</v>
      </c>
      <c r="B1044" s="76" t="s">
        <v>2167</v>
      </c>
      <c r="C1044" s="2">
        <v>150</v>
      </c>
      <c r="D1044" s="2">
        <v>100</v>
      </c>
      <c r="E1044" s="2">
        <v>104</v>
      </c>
      <c r="F1044" s="2">
        <v>96</v>
      </c>
      <c r="G1044" s="21">
        <v>1.5</v>
      </c>
      <c r="H1044" s="20"/>
      <c r="I1044" s="20"/>
      <c r="J1044" s="20"/>
      <c r="K1044" s="89"/>
      <c r="L1044" s="767"/>
      <c r="M1044" s="20"/>
      <c r="N1044" s="20"/>
      <c r="O1044" s="20"/>
      <c r="P1044" s="20"/>
      <c r="Q1044" s="21"/>
      <c r="R1044" s="22" t="s">
        <v>16</v>
      </c>
      <c r="S1044" s="22">
        <v>2</v>
      </c>
      <c r="T1044" s="25">
        <v>3901</v>
      </c>
      <c r="U1044" s="22">
        <v>0</v>
      </c>
      <c r="V1044" s="20" t="str">
        <f t="shared" si="87"/>
        <v>K-150x104x100</v>
      </c>
    </row>
    <row r="1045" spans="1:22" ht="15">
      <c r="A1045" s="88" t="s">
        <v>781</v>
      </c>
      <c r="B1045" s="76" t="s">
        <v>2167</v>
      </c>
      <c r="C1045" s="2">
        <v>150</v>
      </c>
      <c r="D1045" s="2">
        <v>100</v>
      </c>
      <c r="E1045" s="2">
        <v>124</v>
      </c>
      <c r="F1045" s="2">
        <v>116</v>
      </c>
      <c r="G1045" s="21">
        <v>1.8</v>
      </c>
      <c r="H1045" s="20"/>
      <c r="I1045" s="20"/>
      <c r="J1045" s="20"/>
      <c r="K1045" s="89"/>
      <c r="L1045" s="767"/>
      <c r="M1045" s="20"/>
      <c r="N1045" s="20"/>
      <c r="O1045" s="20"/>
      <c r="P1045" s="20"/>
      <c r="Q1045" s="21"/>
      <c r="R1045" s="22" t="s">
        <v>16</v>
      </c>
      <c r="S1045" s="22">
        <v>2</v>
      </c>
      <c r="T1045" s="25">
        <v>4652</v>
      </c>
      <c r="U1045" s="22">
        <v>0</v>
      </c>
      <c r="V1045" s="20" t="str">
        <f t="shared" si="87"/>
        <v>K-150x124x100</v>
      </c>
    </row>
    <row r="1046" spans="1:22" ht="15">
      <c r="A1046" s="88" t="s">
        <v>782</v>
      </c>
      <c r="B1046" s="76" t="s">
        <v>2167</v>
      </c>
      <c r="C1046" s="2">
        <v>150</v>
      </c>
      <c r="D1046" s="2">
        <v>100</v>
      </c>
      <c r="E1046" s="2">
        <v>110</v>
      </c>
      <c r="F1046" s="2">
        <v>90</v>
      </c>
      <c r="G1046" s="21">
        <v>1.5</v>
      </c>
      <c r="H1046" s="20"/>
      <c r="I1046" s="20"/>
      <c r="J1046" s="20"/>
      <c r="K1046" s="89"/>
      <c r="L1046" s="767"/>
      <c r="M1046" s="20"/>
      <c r="N1046" s="20"/>
      <c r="O1046" s="20"/>
      <c r="P1046" s="20"/>
      <c r="Q1046" s="21"/>
      <c r="R1046" s="22" t="s">
        <v>16</v>
      </c>
      <c r="S1046" s="22">
        <v>2</v>
      </c>
      <c r="T1046" s="25">
        <v>1654</v>
      </c>
      <c r="U1046" s="22">
        <v>0</v>
      </c>
      <c r="V1046" s="20" t="str">
        <f t="shared" si="87"/>
        <v>K-150x110x100</v>
      </c>
    </row>
    <row r="1047" spans="1:22" ht="15">
      <c r="A1047" s="88" t="s">
        <v>783</v>
      </c>
      <c r="B1047" s="76" t="s">
        <v>2167</v>
      </c>
      <c r="C1047" s="2">
        <v>150</v>
      </c>
      <c r="D1047" s="2">
        <v>100</v>
      </c>
      <c r="E1047" s="2">
        <v>130</v>
      </c>
      <c r="F1047" s="2">
        <v>110</v>
      </c>
      <c r="G1047" s="21">
        <v>1.8</v>
      </c>
      <c r="H1047" s="20"/>
      <c r="I1047" s="20"/>
      <c r="J1047" s="20"/>
      <c r="K1047" s="89"/>
      <c r="L1047" s="767"/>
      <c r="M1047" s="20"/>
      <c r="N1047" s="20"/>
      <c r="O1047" s="20"/>
      <c r="P1047" s="20"/>
      <c r="Q1047" s="21"/>
      <c r="R1047" s="22" t="s">
        <v>16</v>
      </c>
      <c r="S1047" s="22">
        <v>2</v>
      </c>
      <c r="T1047" s="25">
        <v>1954</v>
      </c>
      <c r="U1047" s="22">
        <v>0</v>
      </c>
      <c r="V1047" s="20" t="str">
        <f t="shared" si="87"/>
        <v>K-150x130x100</v>
      </c>
    </row>
    <row r="1048" spans="1:22" ht="15">
      <c r="A1048" s="88" t="s">
        <v>784</v>
      </c>
      <c r="B1048" s="76" t="s">
        <v>2167</v>
      </c>
      <c r="C1048" s="2">
        <v>180</v>
      </c>
      <c r="D1048" s="2">
        <v>100</v>
      </c>
      <c r="E1048" s="2">
        <v>104</v>
      </c>
      <c r="F1048" s="2">
        <v>96</v>
      </c>
      <c r="G1048" s="21">
        <v>1.8</v>
      </c>
      <c r="H1048" s="20"/>
      <c r="I1048" s="20"/>
      <c r="J1048" s="20"/>
      <c r="K1048" s="89"/>
      <c r="L1048" s="767"/>
      <c r="M1048" s="20"/>
      <c r="N1048" s="20"/>
      <c r="O1048" s="20"/>
      <c r="P1048" s="20"/>
      <c r="Q1048" s="21"/>
      <c r="R1048" s="22" t="s">
        <v>16</v>
      </c>
      <c r="S1048" s="22">
        <v>2</v>
      </c>
      <c r="T1048" s="25">
        <v>4681</v>
      </c>
      <c r="U1048" s="22">
        <v>0</v>
      </c>
      <c r="V1048" s="20" t="str">
        <f t="shared" si="87"/>
        <v>K-180x104x100</v>
      </c>
    </row>
    <row r="1049" spans="1:22" ht="15">
      <c r="A1049" s="88" t="s">
        <v>785</v>
      </c>
      <c r="B1049" s="76" t="s">
        <v>2167</v>
      </c>
      <c r="C1049" s="2">
        <v>180</v>
      </c>
      <c r="D1049" s="2">
        <v>100</v>
      </c>
      <c r="E1049" s="2">
        <v>124</v>
      </c>
      <c r="F1049" s="2">
        <v>116</v>
      </c>
      <c r="G1049" s="21">
        <v>2.16</v>
      </c>
      <c r="H1049" s="20"/>
      <c r="I1049" s="20"/>
      <c r="J1049" s="20"/>
      <c r="K1049" s="89"/>
      <c r="L1049" s="767"/>
      <c r="M1049" s="20"/>
      <c r="N1049" s="20"/>
      <c r="O1049" s="20"/>
      <c r="P1049" s="20"/>
      <c r="Q1049" s="21"/>
      <c r="R1049" s="22" t="s">
        <v>16</v>
      </c>
      <c r="S1049" s="22">
        <v>2</v>
      </c>
      <c r="T1049" s="25">
        <v>5581</v>
      </c>
      <c r="U1049" s="22">
        <v>0</v>
      </c>
      <c r="V1049" s="20" t="str">
        <f t="shared" si="87"/>
        <v>K-180x124x100</v>
      </c>
    </row>
    <row r="1050" spans="1:22" ht="15">
      <c r="A1050" s="88" t="s">
        <v>786</v>
      </c>
      <c r="B1050" s="76" t="s">
        <v>2167</v>
      </c>
      <c r="C1050" s="2">
        <v>180</v>
      </c>
      <c r="D1050" s="2">
        <v>100</v>
      </c>
      <c r="E1050" s="2">
        <v>110</v>
      </c>
      <c r="F1050" s="2">
        <v>90</v>
      </c>
      <c r="G1050" s="21">
        <v>1.8</v>
      </c>
      <c r="H1050" s="20"/>
      <c r="I1050" s="20"/>
      <c r="J1050" s="20"/>
      <c r="K1050" s="89"/>
      <c r="L1050" s="767"/>
      <c r="M1050" s="20"/>
      <c r="N1050" s="20"/>
      <c r="O1050" s="20"/>
      <c r="P1050" s="20"/>
      <c r="Q1050" s="21"/>
      <c r="R1050" s="22" t="s">
        <v>16</v>
      </c>
      <c r="S1050" s="22">
        <v>2</v>
      </c>
      <c r="T1050" s="25">
        <v>1983</v>
      </c>
      <c r="U1050" s="22">
        <v>0</v>
      </c>
      <c r="V1050" s="20" t="str">
        <f t="shared" si="87"/>
        <v>K-180x110x100</v>
      </c>
    </row>
    <row r="1051" spans="1:22" ht="15.6" thickBot="1">
      <c r="A1051" s="90" t="s">
        <v>787</v>
      </c>
      <c r="B1051" s="80" t="s">
        <v>2167</v>
      </c>
      <c r="C1051" s="81">
        <v>180</v>
      </c>
      <c r="D1051" s="81">
        <v>100</v>
      </c>
      <c r="E1051" s="81">
        <v>130</v>
      </c>
      <c r="F1051" s="81">
        <v>110</v>
      </c>
      <c r="G1051" s="103">
        <v>2.16</v>
      </c>
      <c r="H1051" s="82"/>
      <c r="I1051" s="82"/>
      <c r="J1051" s="82"/>
      <c r="K1051" s="91"/>
      <c r="L1051" s="768"/>
      <c r="M1051" s="20"/>
      <c r="N1051" s="20"/>
      <c r="O1051" s="20"/>
      <c r="P1051" s="20"/>
      <c r="Q1051" s="21"/>
      <c r="R1051" s="22" t="s">
        <v>16</v>
      </c>
      <c r="S1051" s="22">
        <v>2</v>
      </c>
      <c r="T1051" s="25">
        <v>2344</v>
      </c>
      <c r="U1051" s="22">
        <v>0</v>
      </c>
      <c r="V1051" s="20" t="str">
        <f t="shared" si="87"/>
        <v>K-180x130x100</v>
      </c>
    </row>
    <row r="1052" spans="1:22" ht="25.2" thickBot="1">
      <c r="A1052" s="64" t="s">
        <v>119</v>
      </c>
      <c r="B1052" s="72"/>
      <c r="C1052" s="73"/>
      <c r="D1052" s="73"/>
      <c r="E1052" s="73"/>
      <c r="F1052" s="73"/>
      <c r="G1052" s="104"/>
      <c r="H1052" s="73"/>
      <c r="I1052" s="73"/>
      <c r="J1052" s="73"/>
      <c r="K1052" s="73"/>
      <c r="L1052" s="93"/>
      <c r="M1052" s="20"/>
      <c r="N1052" s="20"/>
      <c r="O1052" s="20"/>
      <c r="P1052" s="20"/>
      <c r="Q1052" s="21"/>
      <c r="R1052" s="22"/>
      <c r="S1052" s="22"/>
      <c r="T1052" s="20"/>
      <c r="U1052" s="22"/>
      <c r="V1052" s="20"/>
    </row>
    <row r="1053" spans="1:22" ht="12.75" customHeight="1">
      <c r="A1053" s="545" t="s">
        <v>2169</v>
      </c>
      <c r="B1053" s="293" t="s">
        <v>2167</v>
      </c>
      <c r="C1053" s="77">
        <v>102</v>
      </c>
      <c r="D1053" s="77">
        <v>100</v>
      </c>
      <c r="E1053" s="77">
        <v>211</v>
      </c>
      <c r="F1053" s="77">
        <v>185.7</v>
      </c>
      <c r="G1053" s="86">
        <f>2016*10^-3</f>
        <v>2.016</v>
      </c>
      <c r="H1053" s="78">
        <f t="shared" ref="H1053:H1064" si="88">ROUND(C1053*E1053*F1053/10^6,3)</f>
        <v>3.9969999999999999</v>
      </c>
      <c r="I1053" s="78">
        <f t="shared" ref="I1053:I1064" si="89">IF(D1053="","-",ROUND((F1053+D1053)*C1053/2*E1053/10^6,3))</f>
        <v>3.0739999999999998</v>
      </c>
      <c r="J1053" s="78">
        <f t="shared" ref="J1053:J1064" si="90">IF(D1053="","-",ROUND((E1053+F1053)*C1053/2*D1053/10^6,3))</f>
        <v>2.0230000000000001</v>
      </c>
      <c r="K1053" s="79"/>
      <c r="L1053" s="769" t="s">
        <v>119</v>
      </c>
      <c r="M1053" s="20"/>
      <c r="N1053" s="20"/>
      <c r="O1053" s="20"/>
      <c r="P1053" s="20"/>
      <c r="Q1053" s="21"/>
      <c r="R1053" s="22" t="s">
        <v>16</v>
      </c>
      <c r="S1053" s="22">
        <v>2</v>
      </c>
      <c r="T1053" s="20">
        <f t="shared" ref="T1053:T1064" si="91">(E1053+U1053)/2/(SIN(RADIANS((ATAN(((E1053+U1053)-(F1053+U1053))/2/C1053)*180/PI()))))*2</f>
        <v>1714.3780143120428</v>
      </c>
      <c r="U1053" s="22">
        <v>0</v>
      </c>
      <c r="V1053" s="20" t="str">
        <f>B1054&amp;"-"&amp;C1053&amp;"x"&amp;E1053&amp;"x"&amp;D1053</f>
        <v>K-102x211x100</v>
      </c>
    </row>
    <row r="1054" spans="1:22">
      <c r="A1054" s="76" t="s">
        <v>2170</v>
      </c>
      <c r="B1054" s="293" t="s">
        <v>2167</v>
      </c>
      <c r="C1054" s="2">
        <v>102</v>
      </c>
      <c r="D1054" s="2">
        <v>100</v>
      </c>
      <c r="E1054" s="2">
        <v>211</v>
      </c>
      <c r="F1054" s="2">
        <v>198.4</v>
      </c>
      <c r="G1054" s="21">
        <f>2081*10^-3</f>
        <v>2.081</v>
      </c>
      <c r="H1054" s="20">
        <f t="shared" si="88"/>
        <v>4.2699999999999996</v>
      </c>
      <c r="I1054" s="20">
        <f t="shared" si="89"/>
        <v>3.2109999999999999</v>
      </c>
      <c r="J1054" s="20">
        <f t="shared" si="90"/>
        <v>2.0880000000000001</v>
      </c>
      <c r="K1054" s="75"/>
      <c r="L1054" s="770"/>
      <c r="M1054" s="20"/>
      <c r="N1054" s="20"/>
      <c r="O1054" s="20"/>
      <c r="P1054" s="20"/>
      <c r="Q1054" s="21"/>
      <c r="R1054" s="22" t="s">
        <v>16</v>
      </c>
      <c r="S1054" s="22">
        <v>2</v>
      </c>
      <c r="T1054" s="20">
        <f t="shared" si="91"/>
        <v>3422.7004498808424</v>
      </c>
      <c r="U1054" s="22">
        <v>0</v>
      </c>
      <c r="V1054" s="20" t="e">
        <f>#REF!&amp;"-"&amp;C1054&amp;"x"&amp;E1054&amp;"x"&amp;D1054</f>
        <v>#REF!</v>
      </c>
    </row>
    <row r="1055" spans="1:22">
      <c r="A1055" s="76" t="s">
        <v>2171</v>
      </c>
      <c r="B1055" s="293" t="s">
        <v>2167</v>
      </c>
      <c r="C1055" s="2">
        <v>102</v>
      </c>
      <c r="D1055" s="2">
        <v>100</v>
      </c>
      <c r="E1055" s="2">
        <v>211</v>
      </c>
      <c r="F1055" s="2">
        <v>202.7</v>
      </c>
      <c r="G1055" s="21">
        <f>2098*10^-3</f>
        <v>2.0979999999999999</v>
      </c>
      <c r="H1055" s="20">
        <f t="shared" si="88"/>
        <v>4.3630000000000004</v>
      </c>
      <c r="I1055" s="20">
        <f t="shared" si="89"/>
        <v>3.2570000000000001</v>
      </c>
      <c r="J1055" s="20">
        <f t="shared" si="90"/>
        <v>2.11</v>
      </c>
      <c r="K1055" s="75"/>
      <c r="L1055" s="770"/>
      <c r="M1055" s="20"/>
      <c r="N1055" s="20"/>
      <c r="O1055" s="20"/>
      <c r="P1055" s="20"/>
      <c r="Q1055" s="21"/>
      <c r="R1055" s="22" t="s">
        <v>16</v>
      </c>
      <c r="S1055" s="22">
        <v>2</v>
      </c>
      <c r="T1055" s="20">
        <f t="shared" si="91"/>
        <v>5190.3147234335802</v>
      </c>
      <c r="U1055" s="22">
        <v>0</v>
      </c>
      <c r="V1055" s="20" t="str">
        <f t="shared" ref="V1055:V1064" si="92">B1055&amp;"-"&amp;C1055&amp;"x"&amp;E1055&amp;"x"&amp;D1055</f>
        <v>K-102x211x100</v>
      </c>
    </row>
    <row r="1056" spans="1:22">
      <c r="A1056" s="76" t="s">
        <v>2172</v>
      </c>
      <c r="B1056" s="293" t="s">
        <v>2167</v>
      </c>
      <c r="C1056" s="2">
        <v>127</v>
      </c>
      <c r="D1056" s="2">
        <v>100</v>
      </c>
      <c r="E1056" s="2">
        <v>211</v>
      </c>
      <c r="F1056" s="2">
        <v>179.3</v>
      </c>
      <c r="G1056" s="21">
        <f>2474*10^-3</f>
        <v>2.4740000000000002</v>
      </c>
      <c r="H1056" s="20">
        <f t="shared" si="88"/>
        <v>4.8049999999999997</v>
      </c>
      <c r="I1056" s="20">
        <f t="shared" si="89"/>
        <v>3.742</v>
      </c>
      <c r="J1056" s="20">
        <f t="shared" si="90"/>
        <v>2.4780000000000002</v>
      </c>
      <c r="K1056" s="75"/>
      <c r="L1056" s="770"/>
      <c r="M1056" s="20"/>
      <c r="N1056" s="20"/>
      <c r="O1056" s="20"/>
      <c r="P1056" s="20"/>
      <c r="Q1056" s="21"/>
      <c r="R1056" s="22" t="s">
        <v>16</v>
      </c>
      <c r="S1056" s="22">
        <v>2</v>
      </c>
      <c r="T1056" s="20">
        <f t="shared" si="91"/>
        <v>1703.7783176144862</v>
      </c>
      <c r="U1056" s="22">
        <v>0</v>
      </c>
      <c r="V1056" s="20" t="str">
        <f t="shared" si="92"/>
        <v>K-127x211x100</v>
      </c>
    </row>
    <row r="1057" spans="1:22">
      <c r="A1057" s="76" t="s">
        <v>2173</v>
      </c>
      <c r="B1057" s="293" t="s">
        <v>2167</v>
      </c>
      <c r="C1057" s="2">
        <v>127</v>
      </c>
      <c r="D1057" s="2">
        <v>100</v>
      </c>
      <c r="E1057" s="2">
        <v>211</v>
      </c>
      <c r="F1057" s="2">
        <v>195.3</v>
      </c>
      <c r="G1057" s="21">
        <f>2573*10^-3</f>
        <v>2.573</v>
      </c>
      <c r="H1057" s="20">
        <f t="shared" si="88"/>
        <v>5.2329999999999997</v>
      </c>
      <c r="I1057" s="20">
        <f t="shared" si="89"/>
        <v>3.9569999999999999</v>
      </c>
      <c r="J1057" s="20">
        <f t="shared" si="90"/>
        <v>2.58</v>
      </c>
      <c r="K1057" s="75"/>
      <c r="L1057" s="770"/>
      <c r="M1057" s="20"/>
      <c r="N1057" s="20"/>
      <c r="O1057" s="20"/>
      <c r="P1057" s="20"/>
      <c r="Q1057" s="21"/>
      <c r="R1057" s="22" t="s">
        <v>16</v>
      </c>
      <c r="S1057" s="22">
        <v>2</v>
      </c>
      <c r="T1057" s="20">
        <f t="shared" si="91"/>
        <v>3420.1454195130755</v>
      </c>
      <c r="U1057" s="22">
        <v>0</v>
      </c>
      <c r="V1057" s="20" t="str">
        <f t="shared" si="92"/>
        <v>K-127x211x100</v>
      </c>
    </row>
    <row r="1058" spans="1:22">
      <c r="A1058" s="76" t="s">
        <v>2174</v>
      </c>
      <c r="B1058" s="293" t="s">
        <v>2167</v>
      </c>
      <c r="C1058" s="2">
        <v>127</v>
      </c>
      <c r="D1058" s="2">
        <v>100</v>
      </c>
      <c r="E1058" s="2">
        <v>211</v>
      </c>
      <c r="F1058" s="2">
        <v>200.4</v>
      </c>
      <c r="G1058" s="21">
        <f>2606*10^-3</f>
        <v>2.6059999999999999</v>
      </c>
      <c r="H1058" s="20">
        <f t="shared" si="88"/>
        <v>5.37</v>
      </c>
      <c r="I1058" s="20">
        <f t="shared" si="89"/>
        <v>4.0250000000000004</v>
      </c>
      <c r="J1058" s="20">
        <f t="shared" si="90"/>
        <v>2.6120000000000001</v>
      </c>
      <c r="K1058" s="75"/>
      <c r="L1058" s="770"/>
      <c r="M1058" s="20"/>
      <c r="N1058" s="20"/>
      <c r="O1058" s="20"/>
      <c r="P1058" s="20"/>
      <c r="Q1058" s="21"/>
      <c r="R1058" s="22" t="s">
        <v>16</v>
      </c>
      <c r="S1058" s="22">
        <v>2</v>
      </c>
      <c r="T1058" s="20">
        <f t="shared" si="91"/>
        <v>5060.4385764802719</v>
      </c>
      <c r="U1058" s="22">
        <v>0</v>
      </c>
      <c r="V1058" s="20" t="str">
        <f t="shared" si="92"/>
        <v>K-127x211x100</v>
      </c>
    </row>
    <row r="1059" spans="1:22">
      <c r="A1059" s="76" t="s">
        <v>2175</v>
      </c>
      <c r="B1059" s="293" t="s">
        <v>2167</v>
      </c>
      <c r="C1059" s="2">
        <v>152</v>
      </c>
      <c r="D1059" s="2">
        <v>100</v>
      </c>
      <c r="E1059" s="2">
        <v>211</v>
      </c>
      <c r="F1059" s="2">
        <v>173</v>
      </c>
      <c r="G1059" s="21">
        <f>2933*10^-3</f>
        <v>2.9330000000000003</v>
      </c>
      <c r="H1059" s="20">
        <f t="shared" si="88"/>
        <v>5.548</v>
      </c>
      <c r="I1059" s="20">
        <f t="shared" si="89"/>
        <v>4.3780000000000001</v>
      </c>
      <c r="J1059" s="20">
        <f t="shared" si="90"/>
        <v>2.9180000000000001</v>
      </c>
      <c r="K1059" s="75"/>
      <c r="L1059" s="770"/>
      <c r="M1059" s="20"/>
      <c r="N1059" s="20"/>
      <c r="O1059" s="20"/>
      <c r="P1059" s="20"/>
      <c r="Q1059" s="21"/>
      <c r="R1059" s="22" t="s">
        <v>16</v>
      </c>
      <c r="S1059" s="22">
        <v>2</v>
      </c>
      <c r="T1059" s="20">
        <f t="shared" si="91"/>
        <v>1701.1363848909941</v>
      </c>
      <c r="U1059" s="22">
        <v>0</v>
      </c>
      <c r="V1059" s="20" t="str">
        <f t="shared" si="92"/>
        <v>K-152x211x100</v>
      </c>
    </row>
    <row r="1060" spans="1:22">
      <c r="A1060" s="76" t="s">
        <v>2176</v>
      </c>
      <c r="B1060" s="293" t="s">
        <v>2167</v>
      </c>
      <c r="C1060" s="2">
        <v>152</v>
      </c>
      <c r="D1060" s="2">
        <v>100</v>
      </c>
      <c r="E1060" s="2">
        <v>211</v>
      </c>
      <c r="F1060" s="2">
        <v>192</v>
      </c>
      <c r="G1060" s="21">
        <f>3064*10^-3</f>
        <v>3.0640000000000001</v>
      </c>
      <c r="H1060" s="20">
        <f t="shared" si="88"/>
        <v>6.1580000000000004</v>
      </c>
      <c r="I1060" s="20">
        <f t="shared" si="89"/>
        <v>4.6829999999999998</v>
      </c>
      <c r="J1060" s="20">
        <f t="shared" si="90"/>
        <v>3.0630000000000002</v>
      </c>
      <c r="K1060" s="75"/>
      <c r="L1060" s="770"/>
      <c r="M1060" s="20"/>
      <c r="N1060" s="20"/>
      <c r="O1060" s="20"/>
      <c r="P1060" s="20"/>
      <c r="Q1060" s="21"/>
      <c r="R1060" s="22" t="s">
        <v>16</v>
      </c>
      <c r="S1060" s="22">
        <v>2</v>
      </c>
      <c r="T1060" s="20">
        <f t="shared" si="91"/>
        <v>3382.5873233369744</v>
      </c>
      <c r="U1060" s="22">
        <v>0</v>
      </c>
      <c r="V1060" s="20" t="str">
        <f t="shared" si="92"/>
        <v>K-152x211x100</v>
      </c>
    </row>
    <row r="1061" spans="1:22">
      <c r="A1061" s="76" t="s">
        <v>2177</v>
      </c>
      <c r="B1061" s="293" t="s">
        <v>2167</v>
      </c>
      <c r="C1061" s="2">
        <v>152</v>
      </c>
      <c r="D1061" s="2">
        <v>100</v>
      </c>
      <c r="E1061" s="2">
        <v>211</v>
      </c>
      <c r="F1061" s="2">
        <v>198.4</v>
      </c>
      <c r="G1061" s="21">
        <f>3114*10^-3</f>
        <v>3.1139999999999999</v>
      </c>
      <c r="H1061" s="20">
        <f t="shared" si="88"/>
        <v>6.3630000000000004</v>
      </c>
      <c r="I1061" s="20">
        <f t="shared" si="89"/>
        <v>4.7850000000000001</v>
      </c>
      <c r="J1061" s="20">
        <f t="shared" si="90"/>
        <v>3.1110000000000002</v>
      </c>
      <c r="K1061" s="75"/>
      <c r="L1061" s="770"/>
      <c r="M1061" s="20"/>
      <c r="N1061" s="20"/>
      <c r="O1061" s="20"/>
      <c r="P1061" s="20"/>
      <c r="Q1061" s="21"/>
      <c r="R1061" s="22" t="s">
        <v>16</v>
      </c>
      <c r="S1061" s="22">
        <v>2</v>
      </c>
      <c r="T1061" s="20">
        <f t="shared" si="91"/>
        <v>5095.1644718262987</v>
      </c>
      <c r="U1061" s="22">
        <v>0</v>
      </c>
      <c r="V1061" s="20" t="str">
        <f t="shared" si="92"/>
        <v>K-152x211x100</v>
      </c>
    </row>
    <row r="1062" spans="1:22">
      <c r="A1062" s="76" t="s">
        <v>2178</v>
      </c>
      <c r="B1062" s="293" t="s">
        <v>2167</v>
      </c>
      <c r="C1062" s="2">
        <v>203</v>
      </c>
      <c r="D1062" s="2">
        <v>100</v>
      </c>
      <c r="E1062" s="2">
        <v>211</v>
      </c>
      <c r="F1062" s="2">
        <v>160</v>
      </c>
      <c r="G1062" s="21">
        <f>3769*10^-3</f>
        <v>3.7690000000000001</v>
      </c>
      <c r="H1062" s="20">
        <f t="shared" si="88"/>
        <v>6.8529999999999998</v>
      </c>
      <c r="I1062" s="20">
        <f t="shared" si="89"/>
        <v>5.5679999999999996</v>
      </c>
      <c r="J1062" s="20">
        <f t="shared" si="90"/>
        <v>3.766</v>
      </c>
      <c r="K1062" s="75"/>
      <c r="L1062" s="770"/>
      <c r="M1062" s="20"/>
      <c r="N1062" s="20"/>
      <c r="O1062" s="20"/>
      <c r="P1062" s="20"/>
      <c r="Q1062" s="21"/>
      <c r="R1062" s="22" t="s">
        <v>16</v>
      </c>
      <c r="S1062" s="22">
        <v>2</v>
      </c>
      <c r="T1062" s="20">
        <f t="shared" si="91"/>
        <v>1692.9260829742259</v>
      </c>
      <c r="U1062" s="22">
        <v>0</v>
      </c>
      <c r="V1062" s="20" t="str">
        <f t="shared" si="92"/>
        <v>K-203x211x100</v>
      </c>
    </row>
    <row r="1063" spans="1:22">
      <c r="A1063" s="76" t="s">
        <v>2179</v>
      </c>
      <c r="B1063" s="293" t="s">
        <v>2167</v>
      </c>
      <c r="C1063" s="2">
        <v>203</v>
      </c>
      <c r="D1063" s="2">
        <v>100</v>
      </c>
      <c r="E1063" s="2">
        <v>211</v>
      </c>
      <c r="F1063" s="2">
        <v>185.7</v>
      </c>
      <c r="G1063" s="21">
        <f>4031*10^-3</f>
        <v>4.0309999999999997</v>
      </c>
      <c r="H1063" s="20">
        <f t="shared" si="88"/>
        <v>7.9539999999999997</v>
      </c>
      <c r="I1063" s="20">
        <f t="shared" si="89"/>
        <v>6.1189999999999998</v>
      </c>
      <c r="J1063" s="20">
        <f t="shared" si="90"/>
        <v>4.0270000000000001</v>
      </c>
      <c r="K1063" s="75"/>
      <c r="L1063" s="770"/>
      <c r="M1063" s="20"/>
      <c r="N1063" s="20"/>
      <c r="O1063" s="20"/>
      <c r="P1063" s="20"/>
      <c r="Q1063" s="21"/>
      <c r="R1063" s="22" t="s">
        <v>16</v>
      </c>
      <c r="S1063" s="22">
        <v>2</v>
      </c>
      <c r="T1063" s="20">
        <f t="shared" si="91"/>
        <v>3392.5757963027613</v>
      </c>
      <c r="U1063" s="22">
        <v>0</v>
      </c>
      <c r="V1063" s="20" t="str">
        <f t="shared" si="92"/>
        <v>K-203x211x100</v>
      </c>
    </row>
    <row r="1064" spans="1:22" ht="13.8" thickBot="1">
      <c r="A1064" s="80" t="s">
        <v>2180</v>
      </c>
      <c r="B1064" s="293" t="s">
        <v>2167</v>
      </c>
      <c r="C1064" s="81">
        <v>203</v>
      </c>
      <c r="D1064" s="81">
        <v>100</v>
      </c>
      <c r="E1064" s="81">
        <v>211</v>
      </c>
      <c r="F1064" s="81">
        <v>194.1</v>
      </c>
      <c r="G1064" s="103">
        <f>4113*10^-3</f>
        <v>4.1130000000000004</v>
      </c>
      <c r="H1064" s="82">
        <f t="shared" si="88"/>
        <v>8.3140000000000001</v>
      </c>
      <c r="I1064" s="82">
        <f t="shared" si="89"/>
        <v>6.2990000000000004</v>
      </c>
      <c r="J1064" s="82">
        <f t="shared" si="90"/>
        <v>4.1120000000000001</v>
      </c>
      <c r="K1064" s="83"/>
      <c r="L1064" s="771"/>
      <c r="M1064" s="20"/>
      <c r="N1064" s="20"/>
      <c r="O1064" s="20"/>
      <c r="P1064" s="20"/>
      <c r="Q1064" s="21"/>
      <c r="R1064" s="22" t="s">
        <v>16</v>
      </c>
      <c r="S1064" s="22">
        <v>2</v>
      </c>
      <c r="T1064" s="20">
        <f t="shared" si="91"/>
        <v>5073.3836846693657</v>
      </c>
      <c r="U1064" s="22">
        <v>0</v>
      </c>
      <c r="V1064" s="20" t="str">
        <f t="shared" si="92"/>
        <v>K-203x211x100</v>
      </c>
    </row>
    <row r="1065" spans="1:22" ht="25.2" thickBot="1">
      <c r="A1065" s="64" t="s">
        <v>1842</v>
      </c>
      <c r="B1065" s="72"/>
      <c r="C1065" s="72"/>
      <c r="D1065" s="73"/>
      <c r="E1065" s="73"/>
      <c r="F1065" s="73"/>
      <c r="G1065" s="104"/>
      <c r="H1065" s="73"/>
      <c r="I1065" s="73"/>
      <c r="J1065" s="73"/>
      <c r="K1065" s="73"/>
      <c r="L1065" s="93"/>
      <c r="M1065" s="20"/>
      <c r="N1065" s="20"/>
      <c r="O1065" s="20"/>
      <c r="P1065" s="20"/>
      <c r="Q1065" s="21"/>
      <c r="R1065" s="22"/>
      <c r="S1065" s="22"/>
      <c r="T1065" s="20"/>
      <c r="U1065" s="22"/>
      <c r="V1065" s="20"/>
    </row>
    <row r="1066" spans="1:22" ht="12.75" customHeight="1">
      <c r="A1066" t="s">
        <v>1871</v>
      </c>
      <c r="B1066" s="77" t="s">
        <v>2168</v>
      </c>
      <c r="C1066" s="495">
        <v>50.8</v>
      </c>
      <c r="D1066" s="494">
        <v>100</v>
      </c>
      <c r="E1066" s="352">
        <v>210</v>
      </c>
      <c r="F1066" s="77">
        <v>203.7</v>
      </c>
      <c r="G1066" s="77">
        <v>1.054</v>
      </c>
      <c r="H1066" s="78"/>
      <c r="I1066" s="78"/>
      <c r="J1066" s="78"/>
      <c r="K1066" s="79"/>
      <c r="L1066" s="769" t="s">
        <v>1842</v>
      </c>
      <c r="M1066" s="20"/>
      <c r="N1066" s="20"/>
      <c r="O1066" s="20"/>
      <c r="P1066" s="20"/>
      <c r="Q1066" s="21"/>
      <c r="R1066" s="22" t="s">
        <v>16</v>
      </c>
      <c r="S1066" s="22">
        <v>2</v>
      </c>
      <c r="T1066" s="20">
        <f t="shared" ref="T1066:T1069" si="93">(E1066+U1066)/2/(SIN(RADIANS((ATAN(((E1066+U1066)-(F1066+U1066))/2/C1066)*180/PI()))))*2</f>
        <v>3393.1712469474728</v>
      </c>
      <c r="U1066" s="22">
        <v>0</v>
      </c>
      <c r="V1066" s="20" t="str">
        <f t="shared" ref="V1066:V1083" si="94">B1066&amp;"-"&amp;C1066&amp;"x"&amp;E1066&amp;"x"&amp;D1066</f>
        <v>SU-50,8x210x100</v>
      </c>
    </row>
    <row r="1067" spans="1:22">
      <c r="A1067" t="s">
        <v>1843</v>
      </c>
      <c r="B1067" s="2" t="s">
        <v>2168</v>
      </c>
      <c r="C1067" s="495">
        <f>3*25.4</f>
        <v>76.199999999999989</v>
      </c>
      <c r="D1067" s="494">
        <v>100</v>
      </c>
      <c r="E1067" s="352">
        <v>210</v>
      </c>
      <c r="F1067" s="2">
        <v>199.4</v>
      </c>
      <c r="G1067" s="2">
        <v>1.56</v>
      </c>
      <c r="H1067" s="20"/>
      <c r="I1067" s="20"/>
      <c r="J1067" s="20"/>
      <c r="K1067" s="75"/>
      <c r="L1067" s="770"/>
      <c r="M1067" s="20"/>
      <c r="N1067" s="20"/>
      <c r="O1067" s="20"/>
      <c r="P1067" s="20"/>
      <c r="Q1067" s="21"/>
      <c r="R1067" s="22" t="s">
        <v>16</v>
      </c>
      <c r="S1067" s="22">
        <v>2</v>
      </c>
      <c r="T1067" s="20">
        <f t="shared" si="93"/>
        <v>3026.5396212558808</v>
      </c>
      <c r="U1067" s="22">
        <v>0</v>
      </c>
      <c r="V1067" s="20" t="str">
        <f t="shared" si="94"/>
        <v>SU-76,2x210x100</v>
      </c>
    </row>
    <row r="1068" spans="1:22">
      <c r="A1068" s="344" t="s">
        <v>1872</v>
      </c>
      <c r="B1068" s="2" t="s">
        <v>2168</v>
      </c>
      <c r="C1068" s="495">
        <f>3*25.4</f>
        <v>76.199999999999989</v>
      </c>
      <c r="D1068" s="494">
        <v>76.2</v>
      </c>
      <c r="E1068" s="352">
        <v>210</v>
      </c>
      <c r="F1068" s="2">
        <v>199.4</v>
      </c>
      <c r="G1068" s="2">
        <v>1.19</v>
      </c>
      <c r="H1068" s="20"/>
      <c r="I1068" s="20"/>
      <c r="J1068" s="20"/>
      <c r="K1068" s="75"/>
      <c r="L1068" s="770"/>
      <c r="M1068" s="20"/>
      <c r="N1068" s="20"/>
      <c r="O1068" s="20"/>
      <c r="P1068" s="20"/>
      <c r="Q1068" s="21"/>
      <c r="R1068" s="22" t="s">
        <v>16</v>
      </c>
      <c r="S1068" s="22">
        <v>2</v>
      </c>
      <c r="T1068" s="20">
        <f t="shared" ref="T1068" si="95">(E1068+U1068)/2/(SIN(RADIANS((ATAN(((E1068+U1068)-(F1068+U1068))/2/C1068)*180/PI()))))*2</f>
        <v>3026.5396212558808</v>
      </c>
      <c r="U1068" s="22">
        <v>0</v>
      </c>
      <c r="V1068" s="20" t="str">
        <f t="shared" ref="V1068" si="96">B1068&amp;"-"&amp;C1068&amp;"x"&amp;E1068&amp;"x"&amp;D1068</f>
        <v>SU-76,2x210x76,2</v>
      </c>
    </row>
    <row r="1069" spans="1:22">
      <c r="A1069" t="s">
        <v>1867</v>
      </c>
      <c r="B1069" s="2" t="s">
        <v>2168</v>
      </c>
      <c r="C1069" s="495">
        <v>76.2</v>
      </c>
      <c r="D1069" s="494">
        <v>100</v>
      </c>
      <c r="E1069" s="352">
        <v>210</v>
      </c>
      <c r="F1069" s="2">
        <v>201.6</v>
      </c>
      <c r="G1069" s="2">
        <v>1.56</v>
      </c>
      <c r="H1069" s="20"/>
      <c r="I1069" s="20"/>
      <c r="J1069" s="20"/>
      <c r="K1069" s="75"/>
      <c r="L1069" s="770"/>
      <c r="M1069" s="20"/>
      <c r="N1069" s="20"/>
      <c r="O1069" s="20"/>
      <c r="P1069" s="20"/>
      <c r="Q1069" s="21"/>
      <c r="R1069" s="22" t="s">
        <v>16</v>
      </c>
      <c r="S1069" s="22">
        <v>2</v>
      </c>
      <c r="T1069" s="20">
        <f t="shared" si="93"/>
        <v>3815.7830126987024</v>
      </c>
      <c r="U1069" s="22">
        <v>0</v>
      </c>
      <c r="V1069" s="20" t="str">
        <f t="shared" si="94"/>
        <v>SU-76,2x210x100</v>
      </c>
    </row>
    <row r="1070" spans="1:22">
      <c r="A1070" t="s">
        <v>1869</v>
      </c>
      <c r="B1070" s="2" t="s">
        <v>2168</v>
      </c>
      <c r="C1070" s="495">
        <v>76.2</v>
      </c>
      <c r="D1070" s="494">
        <v>76.2</v>
      </c>
      <c r="E1070" s="352">
        <v>210</v>
      </c>
      <c r="F1070" s="2">
        <v>201.6</v>
      </c>
      <c r="G1070" s="2">
        <v>1.19</v>
      </c>
      <c r="H1070" s="20"/>
      <c r="I1070" s="20"/>
      <c r="J1070" s="20"/>
      <c r="K1070" s="75"/>
      <c r="L1070" s="770"/>
      <c r="M1070" s="20"/>
      <c r="N1070" s="20"/>
      <c r="O1070" s="20"/>
      <c r="P1070" s="20"/>
      <c r="Q1070" s="21"/>
      <c r="R1070" s="22"/>
      <c r="S1070" s="22"/>
      <c r="T1070" s="20"/>
      <c r="U1070" s="22">
        <v>0</v>
      </c>
      <c r="V1070" s="20" t="str">
        <f t="shared" si="94"/>
        <v>SU-76,2x210x76,2</v>
      </c>
    </row>
    <row r="1071" spans="1:22">
      <c r="A1071" t="s">
        <v>1844</v>
      </c>
      <c r="B1071" s="2" t="s">
        <v>2168</v>
      </c>
      <c r="C1071" s="495">
        <v>101.6</v>
      </c>
      <c r="D1071" s="494">
        <v>100</v>
      </c>
      <c r="E1071" s="352">
        <v>210</v>
      </c>
      <c r="F1071" s="2">
        <v>188.6</v>
      </c>
      <c r="G1071" s="2">
        <v>2.02</v>
      </c>
      <c r="H1071" s="20"/>
      <c r="I1071" s="20"/>
      <c r="J1071" s="20"/>
      <c r="K1071" s="75"/>
      <c r="L1071" s="770"/>
      <c r="M1071" s="20"/>
      <c r="N1071" s="20"/>
      <c r="O1071" s="20"/>
      <c r="P1071" s="20"/>
      <c r="Q1071" s="21"/>
      <c r="R1071" s="22"/>
      <c r="S1071" s="22"/>
      <c r="T1071" s="20"/>
      <c r="U1071" s="22">
        <v>0</v>
      </c>
      <c r="V1071" s="20" t="str">
        <f t="shared" si="94"/>
        <v>SU-101,6x210x100</v>
      </c>
    </row>
    <row r="1072" spans="1:22">
      <c r="A1072" t="s">
        <v>1863</v>
      </c>
      <c r="B1072" s="2" t="s">
        <v>2168</v>
      </c>
      <c r="C1072" s="495">
        <v>101.6</v>
      </c>
      <c r="D1072" s="494">
        <v>76.2</v>
      </c>
      <c r="E1072" s="352">
        <v>210</v>
      </c>
      <c r="F1072" s="2">
        <v>188.6</v>
      </c>
      <c r="G1072" s="2">
        <v>1.5429999999999999</v>
      </c>
      <c r="H1072" s="20"/>
      <c r="I1072" s="20"/>
      <c r="J1072" s="20"/>
      <c r="K1072" s="75"/>
      <c r="L1072" s="770"/>
      <c r="M1072" s="20"/>
      <c r="N1072" s="20"/>
      <c r="O1072" s="20"/>
      <c r="P1072" s="20"/>
      <c r="Q1072" s="21"/>
      <c r="R1072" s="22"/>
      <c r="S1072" s="22"/>
      <c r="T1072" s="20"/>
      <c r="U1072" s="22">
        <v>0</v>
      </c>
      <c r="V1072" s="20" t="str">
        <f t="shared" si="94"/>
        <v>SU-101,6x210x76,2</v>
      </c>
    </row>
    <row r="1073" spans="1:22">
      <c r="A1073" t="s">
        <v>1848</v>
      </c>
      <c r="B1073" s="2" t="s">
        <v>2168</v>
      </c>
      <c r="C1073" s="495">
        <v>101.6</v>
      </c>
      <c r="D1073" s="494">
        <v>100</v>
      </c>
      <c r="E1073" s="352">
        <v>210</v>
      </c>
      <c r="F1073" s="2">
        <v>195.8</v>
      </c>
      <c r="G1073" s="2">
        <v>2.06</v>
      </c>
      <c r="H1073" s="20"/>
      <c r="I1073" s="20"/>
      <c r="J1073" s="20"/>
      <c r="K1073" s="75"/>
      <c r="L1073" s="770"/>
      <c r="M1073" s="20"/>
      <c r="N1073" s="20"/>
      <c r="O1073" s="20"/>
      <c r="P1073" s="20"/>
      <c r="Q1073" s="21"/>
      <c r="R1073" s="22"/>
      <c r="S1073" s="22"/>
      <c r="T1073" s="20"/>
      <c r="U1073" s="22">
        <v>0</v>
      </c>
      <c r="V1073" s="20" t="str">
        <f t="shared" si="94"/>
        <v>SU-101,6x210x100</v>
      </c>
    </row>
    <row r="1074" spans="1:22">
      <c r="A1074" t="s">
        <v>1864</v>
      </c>
      <c r="B1074" s="2" t="s">
        <v>2168</v>
      </c>
      <c r="C1074" s="495">
        <v>101.6</v>
      </c>
      <c r="D1074" s="494">
        <v>76.2</v>
      </c>
      <c r="E1074" s="352">
        <v>210</v>
      </c>
      <c r="F1074" s="2">
        <v>195.8</v>
      </c>
      <c r="G1074" s="2">
        <v>1.57</v>
      </c>
      <c r="H1074" s="20"/>
      <c r="I1074" s="20"/>
      <c r="J1074" s="20"/>
      <c r="K1074" s="75"/>
      <c r="L1074" s="770"/>
      <c r="M1074" s="20"/>
      <c r="N1074" s="20"/>
      <c r="O1074" s="20"/>
      <c r="P1074" s="20"/>
      <c r="Q1074" s="21"/>
      <c r="R1074" s="22"/>
      <c r="S1074" s="22"/>
      <c r="T1074" s="20"/>
      <c r="U1074" s="22">
        <v>0</v>
      </c>
      <c r="V1074" s="20" t="str">
        <f t="shared" si="94"/>
        <v>SU-101,6x210x76,2</v>
      </c>
    </row>
    <row r="1075" spans="1:22">
      <c r="A1075" t="s">
        <v>1845</v>
      </c>
      <c r="B1075" s="2" t="s">
        <v>2168</v>
      </c>
      <c r="C1075" s="495">
        <v>101.6</v>
      </c>
      <c r="D1075" s="494">
        <v>100</v>
      </c>
      <c r="E1075" s="352">
        <v>210</v>
      </c>
      <c r="F1075" s="2">
        <v>199.4</v>
      </c>
      <c r="G1075" s="2">
        <v>2.0790000000000002</v>
      </c>
      <c r="H1075" s="20"/>
      <c r="I1075" s="20"/>
      <c r="J1075" s="20"/>
      <c r="K1075" s="75"/>
      <c r="L1075" s="770"/>
      <c r="M1075" s="20"/>
      <c r="N1075" s="20"/>
      <c r="O1075" s="20"/>
      <c r="P1075" s="20"/>
      <c r="Q1075" s="21"/>
      <c r="R1075" s="22"/>
      <c r="S1075" s="22"/>
      <c r="T1075" s="20"/>
      <c r="U1075" s="22">
        <v>0</v>
      </c>
      <c r="V1075" s="20" t="str">
        <f t="shared" si="94"/>
        <v>SU-101,6x210x100</v>
      </c>
    </row>
    <row r="1076" spans="1:22">
      <c r="A1076" t="s">
        <v>1865</v>
      </c>
      <c r="B1076" s="2" t="s">
        <v>2168</v>
      </c>
      <c r="C1076" s="495">
        <v>101.6</v>
      </c>
      <c r="D1076" s="494">
        <v>76.2</v>
      </c>
      <c r="E1076" s="352">
        <v>210</v>
      </c>
      <c r="F1076" s="2">
        <v>199.4</v>
      </c>
      <c r="G1076" s="2">
        <v>1.56</v>
      </c>
      <c r="H1076" s="20"/>
      <c r="I1076" s="20"/>
      <c r="J1076" s="20"/>
      <c r="K1076" s="75"/>
      <c r="L1076" s="770"/>
      <c r="M1076" s="20"/>
      <c r="N1076" s="20"/>
      <c r="O1076" s="20"/>
      <c r="P1076" s="20"/>
      <c r="Q1076" s="21"/>
      <c r="R1076" s="22"/>
      <c r="S1076" s="22"/>
      <c r="T1076" s="20"/>
      <c r="U1076" s="22">
        <v>0</v>
      </c>
      <c r="V1076" s="20" t="str">
        <f t="shared" si="94"/>
        <v>SU-101,6x210x76,2</v>
      </c>
    </row>
    <row r="1077" spans="1:22">
      <c r="A1077" t="s">
        <v>1849</v>
      </c>
      <c r="B1077" s="2" t="s">
        <v>2168</v>
      </c>
      <c r="C1077" s="495">
        <v>127</v>
      </c>
      <c r="D1077" s="494">
        <v>100</v>
      </c>
      <c r="E1077" s="352">
        <v>210</v>
      </c>
      <c r="F1077" s="2">
        <v>183.4</v>
      </c>
      <c r="G1077" s="2">
        <v>2.5</v>
      </c>
      <c r="H1077" s="20"/>
      <c r="I1077" s="20"/>
      <c r="J1077" s="20"/>
      <c r="K1077" s="75"/>
      <c r="L1077" s="770"/>
      <c r="M1077" s="20"/>
      <c r="N1077" s="20"/>
      <c r="O1077" s="20"/>
      <c r="P1077" s="20"/>
      <c r="Q1077" s="21"/>
      <c r="R1077" s="22"/>
      <c r="S1077" s="22"/>
      <c r="T1077" s="20"/>
      <c r="U1077" s="22">
        <v>0</v>
      </c>
      <c r="V1077" s="20" t="str">
        <f t="shared" si="94"/>
        <v>SU-127x210x100</v>
      </c>
    </row>
    <row r="1078" spans="1:22">
      <c r="A1078" s="344" t="s">
        <v>1884</v>
      </c>
      <c r="B1078" s="2" t="s">
        <v>2168</v>
      </c>
      <c r="C1078" s="495">
        <v>127</v>
      </c>
      <c r="D1078" s="494">
        <v>76.2</v>
      </c>
      <c r="E1078" s="352">
        <v>210</v>
      </c>
      <c r="F1078" s="2">
        <v>183.4</v>
      </c>
      <c r="G1078" s="2">
        <v>1.91</v>
      </c>
      <c r="H1078" s="20"/>
      <c r="I1078" s="20"/>
      <c r="J1078" s="20"/>
      <c r="K1078" s="75"/>
      <c r="L1078" s="770"/>
      <c r="M1078" s="20"/>
      <c r="N1078" s="20"/>
      <c r="O1078" s="20"/>
      <c r="P1078" s="20"/>
      <c r="Q1078" s="21"/>
      <c r="R1078" s="22"/>
      <c r="S1078" s="22"/>
      <c r="T1078" s="20"/>
      <c r="U1078" s="22">
        <v>0</v>
      </c>
      <c r="V1078" s="20" t="str">
        <f t="shared" ref="V1078" si="97">B1078&amp;"-"&amp;C1078&amp;"x"&amp;E1078&amp;"x"&amp;D1078</f>
        <v>SU-127x210x76,2</v>
      </c>
    </row>
    <row r="1079" spans="1:22">
      <c r="A1079" s="344" t="s">
        <v>1883</v>
      </c>
      <c r="B1079" s="2" t="s">
        <v>2168</v>
      </c>
      <c r="C1079" s="495">
        <v>127</v>
      </c>
      <c r="D1079" s="494">
        <v>100</v>
      </c>
      <c r="E1079" s="352">
        <v>210</v>
      </c>
      <c r="F1079" s="2">
        <v>187.8</v>
      </c>
      <c r="G1079" s="2">
        <v>2.5299999999999998</v>
      </c>
      <c r="H1079" s="20"/>
      <c r="I1079" s="20"/>
      <c r="J1079" s="20"/>
      <c r="K1079" s="75"/>
      <c r="L1079" s="770"/>
      <c r="M1079" s="20"/>
      <c r="N1079" s="20"/>
      <c r="O1079" s="20"/>
      <c r="P1079" s="20"/>
      <c r="Q1079" s="21"/>
      <c r="R1079" s="22"/>
      <c r="S1079" s="22"/>
      <c r="T1079" s="20"/>
      <c r="U1079" s="22">
        <v>0</v>
      </c>
      <c r="V1079" s="20" t="str">
        <f t="shared" si="94"/>
        <v>SU-127x210x100</v>
      </c>
    </row>
    <row r="1080" spans="1:22">
      <c r="A1080" s="344" t="s">
        <v>1870</v>
      </c>
      <c r="B1080" s="2" t="s">
        <v>2168</v>
      </c>
      <c r="C1080" s="495">
        <v>127</v>
      </c>
      <c r="D1080" s="494">
        <v>76.2</v>
      </c>
      <c r="E1080" s="352">
        <v>210</v>
      </c>
      <c r="F1080" s="2">
        <v>187.8</v>
      </c>
      <c r="G1080" s="2">
        <v>1.93</v>
      </c>
      <c r="H1080" s="20"/>
      <c r="I1080" s="20"/>
      <c r="J1080" s="20"/>
      <c r="K1080" s="75"/>
      <c r="L1080" s="770"/>
      <c r="M1080" s="20"/>
      <c r="N1080" s="20"/>
      <c r="O1080" s="20"/>
      <c r="P1080" s="20"/>
      <c r="Q1080" s="21"/>
      <c r="R1080" s="22"/>
      <c r="S1080" s="22"/>
      <c r="T1080" s="20"/>
      <c r="U1080" s="22">
        <v>0</v>
      </c>
      <c r="V1080" s="20" t="str">
        <f t="shared" ref="V1080" si="98">B1080&amp;"-"&amp;C1080&amp;"x"&amp;E1080&amp;"x"&amp;D1080</f>
        <v>SU-127x210x76,2</v>
      </c>
    </row>
    <row r="1081" spans="1:22">
      <c r="A1081" t="s">
        <v>1850</v>
      </c>
      <c r="B1081" s="2" t="s">
        <v>2168</v>
      </c>
      <c r="C1081" s="495">
        <v>127</v>
      </c>
      <c r="D1081" s="494">
        <v>100</v>
      </c>
      <c r="E1081" s="352">
        <v>210</v>
      </c>
      <c r="F1081" s="2">
        <v>192.2</v>
      </c>
      <c r="G1081" s="2">
        <v>2.5499999999999998</v>
      </c>
      <c r="H1081" s="20"/>
      <c r="I1081" s="20"/>
      <c r="J1081" s="20"/>
      <c r="K1081" s="75"/>
      <c r="L1081" s="770"/>
      <c r="M1081" s="20"/>
      <c r="N1081" s="20"/>
      <c r="O1081" s="20"/>
      <c r="P1081" s="20"/>
      <c r="Q1081" s="21"/>
      <c r="R1081" s="22"/>
      <c r="S1081" s="22"/>
      <c r="T1081" s="20"/>
      <c r="U1081" s="22">
        <v>0</v>
      </c>
      <c r="V1081" s="20" t="str">
        <f t="shared" si="94"/>
        <v>SU-127x210x100</v>
      </c>
    </row>
    <row r="1082" spans="1:22">
      <c r="A1082" t="s">
        <v>1866</v>
      </c>
      <c r="B1082" s="2" t="s">
        <v>2168</v>
      </c>
      <c r="C1082" s="495">
        <v>127</v>
      </c>
      <c r="D1082" s="494">
        <v>76.2</v>
      </c>
      <c r="E1082" s="352">
        <v>210</v>
      </c>
      <c r="F1082" s="2">
        <v>192.2</v>
      </c>
      <c r="G1082" s="2">
        <v>1.94</v>
      </c>
      <c r="H1082" s="20"/>
      <c r="I1082" s="20"/>
      <c r="J1082" s="20"/>
      <c r="K1082" s="75"/>
      <c r="L1082" s="770"/>
      <c r="M1082" s="20"/>
      <c r="N1082" s="20"/>
      <c r="O1082" s="20"/>
      <c r="P1082" s="20"/>
      <c r="Q1082" s="21"/>
      <c r="R1082" s="22"/>
      <c r="S1082" s="22"/>
      <c r="T1082" s="20"/>
      <c r="U1082" s="22">
        <v>0</v>
      </c>
      <c r="V1082" s="20" t="str">
        <f t="shared" si="94"/>
        <v>SU-127x210x76,2</v>
      </c>
    </row>
    <row r="1083" spans="1:22">
      <c r="A1083" t="s">
        <v>1851</v>
      </c>
      <c r="B1083" s="2" t="s">
        <v>2168</v>
      </c>
      <c r="C1083" s="495">
        <v>127</v>
      </c>
      <c r="D1083" s="494">
        <v>100</v>
      </c>
      <c r="E1083" s="352">
        <v>210</v>
      </c>
      <c r="F1083" s="2">
        <v>196.7</v>
      </c>
      <c r="G1083" s="2">
        <v>2.58</v>
      </c>
      <c r="H1083" s="20"/>
      <c r="I1083" s="20"/>
      <c r="J1083" s="20"/>
      <c r="K1083" s="75"/>
      <c r="L1083" s="770"/>
      <c r="M1083" s="20"/>
      <c r="N1083" s="20"/>
      <c r="O1083" s="20"/>
      <c r="P1083" s="20"/>
      <c r="Q1083" s="21"/>
      <c r="R1083" s="22"/>
      <c r="S1083" s="22"/>
      <c r="T1083" s="20"/>
      <c r="U1083" s="22">
        <v>0</v>
      </c>
      <c r="V1083" s="20" t="str">
        <f t="shared" si="94"/>
        <v>SU-127x210x100</v>
      </c>
    </row>
    <row r="1084" spans="1:22">
      <c r="A1084" s="344" t="s">
        <v>1873</v>
      </c>
      <c r="B1084" s="2" t="s">
        <v>2168</v>
      </c>
      <c r="C1084" s="495">
        <v>127</v>
      </c>
      <c r="D1084" s="494">
        <v>76.2</v>
      </c>
      <c r="E1084" s="352">
        <v>210</v>
      </c>
      <c r="F1084" s="2">
        <v>196.7</v>
      </c>
      <c r="G1084" s="2">
        <v>1.97</v>
      </c>
      <c r="H1084" s="20"/>
      <c r="I1084" s="20"/>
      <c r="J1084" s="20"/>
      <c r="K1084" s="75"/>
      <c r="L1084" s="770"/>
      <c r="M1084" s="20"/>
      <c r="N1084" s="20"/>
      <c r="O1084" s="20"/>
      <c r="P1084" s="20"/>
      <c r="Q1084" s="21"/>
      <c r="R1084" s="22"/>
      <c r="S1084" s="22"/>
      <c r="T1084" s="20"/>
      <c r="U1084" s="22">
        <v>0</v>
      </c>
      <c r="V1084" s="20" t="str">
        <f t="shared" ref="V1084:V1085" si="99">B1084&amp;"-"&amp;C1084&amp;"x"&amp;E1084&amp;"x"&amp;D1084</f>
        <v>SU-127x210x76,2</v>
      </c>
    </row>
    <row r="1085" spans="1:22">
      <c r="A1085" t="s">
        <v>1852</v>
      </c>
      <c r="B1085" s="2" t="s">
        <v>2168</v>
      </c>
      <c r="C1085" s="495">
        <v>152.4</v>
      </c>
      <c r="D1085" s="494">
        <v>100</v>
      </c>
      <c r="E1085" s="352">
        <v>210</v>
      </c>
      <c r="F1085" s="2">
        <v>178</v>
      </c>
      <c r="G1085" s="2">
        <v>2.96</v>
      </c>
      <c r="H1085" s="20"/>
      <c r="I1085" s="20"/>
      <c r="J1085" s="20"/>
      <c r="K1085" s="75"/>
      <c r="L1085" s="770"/>
      <c r="M1085" s="20"/>
      <c r="N1085" s="20"/>
      <c r="O1085" s="20"/>
      <c r="P1085" s="20"/>
      <c r="Q1085" s="21"/>
      <c r="R1085" s="22"/>
      <c r="S1085" s="22"/>
      <c r="T1085" s="20"/>
      <c r="U1085" s="22">
        <v>0</v>
      </c>
      <c r="V1085" s="20" t="str">
        <f t="shared" si="99"/>
        <v>SU-152,4x210x100</v>
      </c>
    </row>
    <row r="1086" spans="1:22">
      <c r="A1086" s="344" t="s">
        <v>1874</v>
      </c>
      <c r="B1086" s="2" t="s">
        <v>2168</v>
      </c>
      <c r="C1086" s="495">
        <v>152.4</v>
      </c>
      <c r="D1086" s="494">
        <v>76.2</v>
      </c>
      <c r="E1086" s="352">
        <v>210</v>
      </c>
      <c r="F1086" s="2">
        <v>178</v>
      </c>
      <c r="G1086" s="2">
        <v>2.2519999999999998</v>
      </c>
      <c r="H1086" s="20"/>
      <c r="I1086" s="20"/>
      <c r="J1086" s="20"/>
      <c r="K1086" s="75"/>
      <c r="L1086" s="770"/>
      <c r="M1086" s="20"/>
      <c r="N1086" s="20"/>
      <c r="O1086" s="20"/>
      <c r="P1086" s="20"/>
      <c r="Q1086" s="21"/>
      <c r="R1086" s="22"/>
      <c r="S1086" s="22"/>
      <c r="T1086" s="20"/>
      <c r="U1086" s="22">
        <v>0</v>
      </c>
      <c r="V1086" s="20" t="str">
        <f t="shared" ref="V1086:V1106" si="100">B1086&amp;"-"&amp;C1086&amp;"x"&amp;E1086&amp;"x"&amp;D1086</f>
        <v>SU-152,4x210x76,2</v>
      </c>
    </row>
    <row r="1087" spans="1:22">
      <c r="A1087" t="s">
        <v>1859</v>
      </c>
      <c r="B1087" s="2" t="s">
        <v>2168</v>
      </c>
      <c r="C1087" s="495">
        <v>152.4</v>
      </c>
      <c r="D1087" s="494">
        <v>100</v>
      </c>
      <c r="E1087" s="352">
        <v>210</v>
      </c>
      <c r="F1087" s="2">
        <v>183.3</v>
      </c>
      <c r="G1087" s="2">
        <v>3</v>
      </c>
      <c r="H1087" s="20"/>
      <c r="I1087" s="20"/>
      <c r="J1087" s="20"/>
      <c r="K1087" s="75"/>
      <c r="L1087" s="770"/>
      <c r="M1087" s="20"/>
      <c r="N1087" s="20"/>
      <c r="O1087" s="20"/>
      <c r="P1087" s="20"/>
      <c r="Q1087" s="21"/>
      <c r="R1087" s="22"/>
      <c r="S1087" s="22"/>
      <c r="T1087" s="20"/>
      <c r="U1087" s="22">
        <v>0</v>
      </c>
      <c r="V1087" s="20" t="str">
        <f t="shared" si="100"/>
        <v>SU-152,4x210x100</v>
      </c>
    </row>
    <row r="1088" spans="1:22">
      <c r="A1088" t="s">
        <v>1847</v>
      </c>
      <c r="B1088" s="2" t="s">
        <v>2168</v>
      </c>
      <c r="C1088" s="495">
        <v>152.4</v>
      </c>
      <c r="D1088" s="494">
        <v>100</v>
      </c>
      <c r="E1088" s="352">
        <v>210</v>
      </c>
      <c r="F1088" s="2">
        <v>188.7</v>
      </c>
      <c r="G1088" s="2">
        <v>3.04</v>
      </c>
      <c r="H1088" s="20"/>
      <c r="I1088" s="20"/>
      <c r="J1088" s="20"/>
      <c r="K1088" s="75"/>
      <c r="L1088" s="770"/>
      <c r="M1088" s="20"/>
      <c r="N1088" s="20"/>
      <c r="O1088" s="20"/>
      <c r="P1088" s="20"/>
      <c r="Q1088" s="21"/>
      <c r="R1088" s="22"/>
      <c r="S1088" s="22"/>
      <c r="T1088" s="20"/>
      <c r="U1088" s="22">
        <v>0</v>
      </c>
      <c r="V1088" s="20" t="str">
        <f t="shared" si="100"/>
        <v>SU-152,4x210x100</v>
      </c>
    </row>
    <row r="1089" spans="1:22">
      <c r="A1089" s="344" t="s">
        <v>1875</v>
      </c>
      <c r="B1089" s="2" t="s">
        <v>2168</v>
      </c>
      <c r="C1089" s="495">
        <v>152.4</v>
      </c>
      <c r="D1089" s="494">
        <v>76.2</v>
      </c>
      <c r="E1089" s="352">
        <v>210</v>
      </c>
      <c r="F1089" s="2">
        <v>188.7</v>
      </c>
      <c r="G1089" s="2">
        <v>2.3140000000000001</v>
      </c>
      <c r="H1089" s="20"/>
      <c r="I1089" s="20"/>
      <c r="J1089" s="20"/>
      <c r="K1089" s="75"/>
      <c r="L1089" s="770"/>
      <c r="M1089" s="20"/>
      <c r="N1089" s="20"/>
      <c r="O1089" s="20"/>
      <c r="P1089" s="20"/>
      <c r="Q1089" s="21"/>
      <c r="R1089" s="22"/>
      <c r="S1089" s="22"/>
      <c r="T1089" s="20"/>
      <c r="U1089" s="22">
        <v>0</v>
      </c>
      <c r="V1089" s="20" t="str">
        <f t="shared" si="100"/>
        <v>SU-152,4x210x76,2</v>
      </c>
    </row>
    <row r="1090" spans="1:22">
      <c r="A1090" t="s">
        <v>1846</v>
      </c>
      <c r="B1090" s="2" t="s">
        <v>2168</v>
      </c>
      <c r="C1090" s="495">
        <v>152.4</v>
      </c>
      <c r="D1090" s="494">
        <v>100</v>
      </c>
      <c r="E1090" s="352">
        <v>210</v>
      </c>
      <c r="F1090" s="2">
        <v>194</v>
      </c>
      <c r="G1090" s="2">
        <v>3.089</v>
      </c>
      <c r="H1090" s="20"/>
      <c r="I1090" s="20"/>
      <c r="J1090" s="20"/>
      <c r="K1090" s="75"/>
      <c r="L1090" s="770"/>
      <c r="M1090" s="20"/>
      <c r="N1090" s="20"/>
      <c r="O1090" s="20"/>
      <c r="P1090" s="20"/>
      <c r="Q1090" s="21"/>
      <c r="R1090" s="22"/>
      <c r="S1090" s="22"/>
      <c r="T1090" s="20"/>
      <c r="U1090" s="22">
        <v>0</v>
      </c>
      <c r="V1090" s="20" t="str">
        <f t="shared" si="100"/>
        <v>SU-152,4x210x100</v>
      </c>
    </row>
    <row r="1091" spans="1:22">
      <c r="A1091" t="s">
        <v>1862</v>
      </c>
      <c r="B1091" s="2" t="s">
        <v>2168</v>
      </c>
      <c r="C1091" s="495">
        <v>152.4</v>
      </c>
      <c r="D1091" s="494">
        <v>76.2</v>
      </c>
      <c r="E1091" s="352">
        <v>210</v>
      </c>
      <c r="F1091" s="2">
        <v>194</v>
      </c>
      <c r="G1091" s="2">
        <v>2.35</v>
      </c>
      <c r="H1091" s="20"/>
      <c r="I1091" s="20"/>
      <c r="J1091" s="20"/>
      <c r="K1091" s="75"/>
      <c r="L1091" s="770"/>
      <c r="M1091" s="20"/>
      <c r="N1091" s="20"/>
      <c r="O1091" s="20"/>
      <c r="P1091" s="20"/>
      <c r="Q1091" s="21"/>
      <c r="R1091" s="22"/>
      <c r="S1091" s="22"/>
      <c r="T1091" s="20"/>
      <c r="U1091" s="22">
        <v>0</v>
      </c>
      <c r="V1091" s="20" t="str">
        <f t="shared" si="100"/>
        <v>SU-152,4x210x76,2</v>
      </c>
    </row>
    <row r="1092" spans="1:22">
      <c r="A1092" t="s">
        <v>1861</v>
      </c>
      <c r="B1092" s="2" t="s">
        <v>2168</v>
      </c>
      <c r="C1092" s="495">
        <v>177.8</v>
      </c>
      <c r="D1092" s="494">
        <v>100</v>
      </c>
      <c r="E1092" s="352">
        <v>210</v>
      </c>
      <c r="F1092" s="2">
        <v>173</v>
      </c>
      <c r="G1092" s="2">
        <v>3.35</v>
      </c>
      <c r="H1092" s="20"/>
      <c r="I1092" s="20"/>
      <c r="J1092" s="20"/>
      <c r="K1092" s="75"/>
      <c r="L1092" s="770"/>
      <c r="M1092" s="20"/>
      <c r="N1092" s="20"/>
      <c r="O1092" s="20"/>
      <c r="P1092" s="20"/>
      <c r="Q1092" s="21"/>
      <c r="R1092" s="22"/>
      <c r="S1092" s="22"/>
      <c r="T1092" s="20"/>
      <c r="U1092" s="22">
        <v>0</v>
      </c>
      <c r="V1092" s="20" t="str">
        <f t="shared" si="100"/>
        <v>SU-177,8x210x100</v>
      </c>
    </row>
    <row r="1093" spans="1:22">
      <c r="A1093" s="344" t="s">
        <v>1876</v>
      </c>
      <c r="B1093" s="2" t="s">
        <v>2168</v>
      </c>
      <c r="C1093" s="495">
        <v>177.8</v>
      </c>
      <c r="D1093" s="494">
        <v>76.2</v>
      </c>
      <c r="E1093" s="352">
        <v>210</v>
      </c>
      <c r="F1093" s="2">
        <v>173</v>
      </c>
      <c r="G1093" s="2">
        <v>2.5939999999999999</v>
      </c>
      <c r="H1093" s="20"/>
      <c r="I1093" s="20"/>
      <c r="J1093" s="20"/>
      <c r="K1093" s="75"/>
      <c r="L1093" s="770"/>
      <c r="M1093" s="20"/>
      <c r="N1093" s="20"/>
      <c r="O1093" s="20"/>
      <c r="P1093" s="20"/>
      <c r="Q1093" s="21"/>
      <c r="R1093" s="22"/>
      <c r="S1093" s="22"/>
      <c r="T1093" s="20"/>
      <c r="U1093" s="22">
        <v>0</v>
      </c>
      <c r="V1093" s="20" t="str">
        <f t="shared" si="100"/>
        <v>SU-177,8x210x76,2</v>
      </c>
    </row>
    <row r="1094" spans="1:22">
      <c r="A1094" s="344" t="s">
        <v>1857</v>
      </c>
      <c r="B1094" s="2" t="s">
        <v>2168</v>
      </c>
      <c r="C1094" s="495">
        <v>177.8</v>
      </c>
      <c r="D1094" s="494">
        <v>100</v>
      </c>
      <c r="E1094" s="352">
        <v>210</v>
      </c>
      <c r="F1094" s="2">
        <v>178.9</v>
      </c>
      <c r="G1094" s="2">
        <v>3.46</v>
      </c>
      <c r="H1094" s="20"/>
      <c r="I1094" s="20"/>
      <c r="J1094" s="20"/>
      <c r="K1094" s="75"/>
      <c r="L1094" s="770"/>
      <c r="M1094" s="20"/>
      <c r="N1094" s="20"/>
      <c r="O1094" s="20"/>
      <c r="P1094" s="20"/>
      <c r="Q1094" s="21"/>
      <c r="R1094" s="22"/>
      <c r="S1094" s="22"/>
      <c r="T1094" s="20"/>
      <c r="U1094" s="22">
        <v>0</v>
      </c>
      <c r="V1094" s="20" t="str">
        <f t="shared" si="100"/>
        <v>SU-177,8x210x100</v>
      </c>
    </row>
    <row r="1095" spans="1:22">
      <c r="A1095" t="s">
        <v>1853</v>
      </c>
      <c r="B1095" s="2" t="s">
        <v>2168</v>
      </c>
      <c r="C1095" s="495">
        <v>177.8</v>
      </c>
      <c r="D1095" s="494">
        <v>100</v>
      </c>
      <c r="E1095" s="352">
        <v>210</v>
      </c>
      <c r="F1095" s="2">
        <v>185.2</v>
      </c>
      <c r="G1095" s="2">
        <v>3.51</v>
      </c>
      <c r="H1095" s="20"/>
      <c r="I1095" s="20"/>
      <c r="J1095" s="20"/>
      <c r="K1095" s="75"/>
      <c r="L1095" s="770"/>
      <c r="M1095" s="20"/>
      <c r="N1095" s="20"/>
      <c r="O1095" s="20"/>
      <c r="P1095" s="20"/>
      <c r="Q1095" s="21"/>
      <c r="R1095" s="22"/>
      <c r="S1095" s="22"/>
      <c r="T1095" s="20"/>
      <c r="U1095" s="22">
        <v>0</v>
      </c>
      <c r="V1095" s="20" t="str">
        <f t="shared" si="100"/>
        <v>SU-177,8x210x100</v>
      </c>
    </row>
    <row r="1096" spans="1:22">
      <c r="A1096" s="344" t="s">
        <v>1877</v>
      </c>
      <c r="B1096" s="2" t="s">
        <v>2168</v>
      </c>
      <c r="C1096" s="495">
        <v>177.8</v>
      </c>
      <c r="D1096" s="494">
        <v>76.2</v>
      </c>
      <c r="E1096" s="352">
        <v>210</v>
      </c>
      <c r="F1096" s="2">
        <v>185.2</v>
      </c>
      <c r="G1096" s="2">
        <v>2.6760000000000002</v>
      </c>
      <c r="H1096" s="20"/>
      <c r="I1096" s="20"/>
      <c r="J1096" s="20"/>
      <c r="K1096" s="75"/>
      <c r="L1096" s="770"/>
      <c r="M1096" s="20"/>
      <c r="N1096" s="20"/>
      <c r="O1096" s="20"/>
      <c r="P1096" s="20"/>
      <c r="Q1096" s="21"/>
      <c r="R1096" s="22"/>
      <c r="S1096" s="22"/>
      <c r="T1096" s="20"/>
      <c r="U1096" s="22">
        <v>0</v>
      </c>
      <c r="V1096" s="20" t="str">
        <f t="shared" si="100"/>
        <v>SU-177,8x210x76,2</v>
      </c>
    </row>
    <row r="1097" spans="1:22">
      <c r="A1097" t="s">
        <v>1854</v>
      </c>
      <c r="B1097" s="2" t="s">
        <v>2168</v>
      </c>
      <c r="C1097" s="495">
        <v>177.8</v>
      </c>
      <c r="D1097" s="494">
        <v>100</v>
      </c>
      <c r="E1097" s="352">
        <v>210</v>
      </c>
      <c r="F1097" s="2">
        <v>191.4</v>
      </c>
      <c r="G1097" s="2">
        <v>3.57</v>
      </c>
      <c r="H1097" s="20"/>
      <c r="I1097" s="20"/>
      <c r="J1097" s="20"/>
      <c r="K1097" s="75"/>
      <c r="L1097" s="770"/>
      <c r="M1097" s="20"/>
      <c r="N1097" s="20"/>
      <c r="O1097" s="20"/>
      <c r="P1097" s="20"/>
      <c r="Q1097" s="21"/>
      <c r="R1097" s="22"/>
      <c r="S1097" s="22"/>
      <c r="T1097" s="20"/>
      <c r="U1097" s="22">
        <v>0</v>
      </c>
      <c r="V1097" s="20" t="str">
        <f t="shared" si="100"/>
        <v>SU-177,8x210x100</v>
      </c>
    </row>
    <row r="1098" spans="1:22">
      <c r="A1098" s="344" t="s">
        <v>1878</v>
      </c>
      <c r="B1098" s="2" t="s">
        <v>2168</v>
      </c>
      <c r="C1098" s="495">
        <v>177.8</v>
      </c>
      <c r="D1098" s="494">
        <v>76.2</v>
      </c>
      <c r="E1098" s="352">
        <v>210</v>
      </c>
      <c r="F1098" s="2">
        <v>191.4</v>
      </c>
      <c r="G1098" s="2">
        <v>2.72</v>
      </c>
      <c r="H1098" s="20"/>
      <c r="I1098" s="20"/>
      <c r="J1098" s="20"/>
      <c r="K1098" s="75"/>
      <c r="L1098" s="770"/>
      <c r="M1098" s="20"/>
      <c r="N1098" s="20"/>
      <c r="O1098" s="20"/>
      <c r="P1098" s="20"/>
      <c r="Q1098" s="21"/>
      <c r="R1098" s="22"/>
      <c r="S1098" s="22"/>
      <c r="T1098" s="20"/>
      <c r="U1098" s="22">
        <v>0</v>
      </c>
      <c r="V1098" s="20" t="str">
        <f t="shared" si="100"/>
        <v>SU-177,8x210x76,2</v>
      </c>
    </row>
    <row r="1099" spans="1:22">
      <c r="A1099" t="s">
        <v>1860</v>
      </c>
      <c r="B1099" s="2" t="s">
        <v>2168</v>
      </c>
      <c r="C1099" s="495">
        <v>203.2</v>
      </c>
      <c r="D1099" s="494">
        <v>100</v>
      </c>
      <c r="E1099" s="352">
        <v>210</v>
      </c>
      <c r="F1099" s="2">
        <v>181.6</v>
      </c>
      <c r="G1099" s="2">
        <v>3.98</v>
      </c>
      <c r="H1099" s="20"/>
      <c r="I1099" s="20"/>
      <c r="J1099" s="20"/>
      <c r="K1099" s="75"/>
      <c r="L1099" s="770"/>
      <c r="M1099" s="20"/>
      <c r="N1099" s="20"/>
      <c r="O1099" s="20"/>
      <c r="P1099" s="20"/>
      <c r="Q1099" s="21"/>
      <c r="R1099" s="22"/>
      <c r="S1099" s="22"/>
      <c r="T1099" s="20"/>
      <c r="U1099" s="22">
        <v>0</v>
      </c>
      <c r="V1099" s="20" t="str">
        <f t="shared" si="100"/>
        <v>SU-203,2x210x100</v>
      </c>
    </row>
    <row r="1100" spans="1:22">
      <c r="A1100" s="344" t="s">
        <v>1879</v>
      </c>
      <c r="B1100" s="2" t="s">
        <v>2168</v>
      </c>
      <c r="C1100" s="495">
        <v>203.2</v>
      </c>
      <c r="D1100" s="494">
        <v>76.2</v>
      </c>
      <c r="E1100" s="352">
        <v>210</v>
      </c>
      <c r="F1100" s="2">
        <v>181.6</v>
      </c>
      <c r="G1100" s="2">
        <v>3.03</v>
      </c>
      <c r="H1100" s="20"/>
      <c r="I1100" s="20"/>
      <c r="J1100" s="20"/>
      <c r="K1100" s="75"/>
      <c r="L1100" s="770"/>
      <c r="M1100" s="20"/>
      <c r="N1100" s="20"/>
      <c r="O1100" s="20"/>
      <c r="P1100" s="20"/>
      <c r="Q1100" s="21"/>
      <c r="R1100" s="22"/>
      <c r="S1100" s="22"/>
      <c r="T1100" s="20"/>
      <c r="U1100" s="22">
        <v>0</v>
      </c>
      <c r="V1100" s="20" t="str">
        <f t="shared" si="100"/>
        <v>SU-203,2x210x76,2</v>
      </c>
    </row>
    <row r="1101" spans="1:22">
      <c r="A1101" t="s">
        <v>1858</v>
      </c>
      <c r="B1101" s="2" t="s">
        <v>2168</v>
      </c>
      <c r="C1101" s="495">
        <v>203.2</v>
      </c>
      <c r="D1101" s="494">
        <v>100</v>
      </c>
      <c r="E1101" s="352">
        <v>210</v>
      </c>
      <c r="F1101" s="2">
        <v>188.7</v>
      </c>
      <c r="G1101" s="2">
        <v>4.05</v>
      </c>
      <c r="H1101" s="20"/>
      <c r="I1101" s="20"/>
      <c r="J1101" s="20"/>
      <c r="K1101" s="75"/>
      <c r="L1101" s="770"/>
      <c r="M1101" s="20"/>
      <c r="N1101" s="20"/>
      <c r="O1101" s="20"/>
      <c r="P1101" s="20"/>
      <c r="Q1101" s="21"/>
      <c r="R1101" s="22"/>
      <c r="S1101" s="22"/>
      <c r="T1101" s="20"/>
      <c r="U1101" s="22">
        <v>0</v>
      </c>
      <c r="V1101" s="20" t="str">
        <f t="shared" si="100"/>
        <v>SU-203,2x210x100</v>
      </c>
    </row>
    <row r="1102" spans="1:22">
      <c r="A1102" s="344" t="s">
        <v>1880</v>
      </c>
      <c r="B1102" s="2" t="s">
        <v>2168</v>
      </c>
      <c r="C1102" s="495">
        <v>203.2</v>
      </c>
      <c r="D1102" s="494">
        <v>76.2</v>
      </c>
      <c r="E1102" s="352">
        <v>210</v>
      </c>
      <c r="F1102" s="2">
        <v>188.7</v>
      </c>
      <c r="G1102" s="2">
        <v>3.09</v>
      </c>
      <c r="H1102" s="20"/>
      <c r="I1102" s="20"/>
      <c r="J1102" s="20"/>
      <c r="K1102" s="75"/>
      <c r="L1102" s="770"/>
      <c r="M1102" s="20"/>
      <c r="N1102" s="20"/>
      <c r="O1102" s="20"/>
      <c r="P1102" s="20"/>
      <c r="Q1102" s="21"/>
      <c r="R1102" s="22"/>
      <c r="S1102" s="22"/>
      <c r="T1102" s="20"/>
      <c r="U1102" s="22">
        <v>0</v>
      </c>
      <c r="V1102" s="20" t="str">
        <f t="shared" si="100"/>
        <v>SU-203,2x210x76,2</v>
      </c>
    </row>
    <row r="1103" spans="1:22">
      <c r="A1103" t="s">
        <v>1855</v>
      </c>
      <c r="B1103" s="2" t="s">
        <v>2168</v>
      </c>
      <c r="C1103" s="495">
        <v>228.6</v>
      </c>
      <c r="D1103" s="494">
        <v>100</v>
      </c>
      <c r="E1103" s="352">
        <v>210</v>
      </c>
      <c r="F1103" s="2">
        <v>178.1</v>
      </c>
      <c r="G1103" s="2">
        <v>4.4400000000000004</v>
      </c>
      <c r="H1103" s="20"/>
      <c r="I1103" s="20"/>
      <c r="J1103" s="20"/>
      <c r="K1103" s="75"/>
      <c r="L1103" s="770"/>
      <c r="M1103" s="20"/>
      <c r="N1103" s="20"/>
      <c r="O1103" s="20"/>
      <c r="P1103" s="20"/>
      <c r="Q1103" s="21"/>
      <c r="R1103" s="22"/>
      <c r="S1103" s="22"/>
      <c r="T1103" s="20"/>
      <c r="U1103" s="22">
        <v>0</v>
      </c>
      <c r="V1103" s="20" t="str">
        <f t="shared" si="100"/>
        <v>SU-228,6x210x100</v>
      </c>
    </row>
    <row r="1104" spans="1:22">
      <c r="A1104" t="s">
        <v>1868</v>
      </c>
      <c r="B1104" s="2" t="s">
        <v>2168</v>
      </c>
      <c r="C1104" s="495">
        <v>228.6</v>
      </c>
      <c r="D1104" s="494">
        <v>76.2</v>
      </c>
      <c r="E1104" s="352">
        <v>210</v>
      </c>
      <c r="F1104" s="2">
        <v>178.1</v>
      </c>
      <c r="G1104" s="2">
        <v>3.38</v>
      </c>
      <c r="H1104" s="20"/>
      <c r="I1104" s="20"/>
      <c r="J1104" s="20"/>
      <c r="K1104" s="75"/>
      <c r="L1104" s="770"/>
      <c r="M1104" s="20"/>
      <c r="N1104" s="20"/>
      <c r="O1104" s="20"/>
      <c r="P1104" s="20"/>
      <c r="Q1104" s="21"/>
      <c r="R1104" s="22"/>
      <c r="S1104" s="22"/>
      <c r="T1104" s="20"/>
      <c r="U1104" s="22">
        <v>0</v>
      </c>
      <c r="V1104" s="20" t="str">
        <f t="shared" si="100"/>
        <v>SU-228,6x210x76,2</v>
      </c>
    </row>
    <row r="1105" spans="1:22">
      <c r="A1105" t="s">
        <v>1856</v>
      </c>
      <c r="B1105" s="2" t="s">
        <v>2168</v>
      </c>
      <c r="C1105" s="495">
        <v>228.6</v>
      </c>
      <c r="D1105" s="494">
        <v>100</v>
      </c>
      <c r="E1105" s="352">
        <v>210</v>
      </c>
      <c r="F1105" s="2">
        <v>186</v>
      </c>
      <c r="G1105" s="2">
        <v>4.53</v>
      </c>
      <c r="H1105" s="20"/>
      <c r="I1105" s="20"/>
      <c r="J1105" s="20"/>
      <c r="K1105" s="75"/>
      <c r="L1105" s="770"/>
      <c r="M1105" s="20"/>
      <c r="N1105" s="20"/>
      <c r="O1105" s="20"/>
      <c r="P1105" s="20"/>
      <c r="Q1105" s="21"/>
      <c r="R1105" s="22"/>
      <c r="S1105" s="22"/>
      <c r="T1105" s="20"/>
      <c r="U1105" s="22">
        <v>0</v>
      </c>
      <c r="V1105" s="20" t="str">
        <f t="shared" si="100"/>
        <v>SU-228,6x210x100</v>
      </c>
    </row>
    <row r="1106" spans="1:22">
      <c r="A1106" s="344" t="s">
        <v>1881</v>
      </c>
      <c r="B1106" s="2" t="s">
        <v>2168</v>
      </c>
      <c r="C1106" s="495">
        <v>228.6</v>
      </c>
      <c r="D1106" s="494">
        <v>76.2</v>
      </c>
      <c r="E1106" s="352">
        <v>210</v>
      </c>
      <c r="F1106" s="2">
        <v>186</v>
      </c>
      <c r="G1106" s="2">
        <v>3.44</v>
      </c>
      <c r="H1106" s="20"/>
      <c r="I1106" s="20"/>
      <c r="J1106" s="20"/>
      <c r="K1106" s="75"/>
      <c r="L1106" s="770"/>
      <c r="M1106" s="20"/>
      <c r="N1106" s="20"/>
      <c r="O1106" s="20"/>
      <c r="P1106" s="20"/>
      <c r="Q1106" s="21"/>
      <c r="R1106" s="22"/>
      <c r="S1106" s="22"/>
      <c r="T1106" s="20"/>
      <c r="U1106" s="22">
        <v>0</v>
      </c>
      <c r="V1106" s="20" t="str">
        <f t="shared" si="100"/>
        <v>SU-228,6x210x76,2</v>
      </c>
    </row>
    <row r="1107" spans="1:22" ht="13.8" thickBot="1">
      <c r="A1107" s="76"/>
      <c r="G1107" s="21"/>
      <c r="H1107" s="20"/>
      <c r="I1107" s="20"/>
      <c r="J1107" s="20"/>
      <c r="K1107" s="75"/>
      <c r="L1107" s="770"/>
      <c r="M1107" s="20"/>
      <c r="N1107" s="20"/>
      <c r="O1107" s="20"/>
      <c r="P1107" s="20"/>
      <c r="Q1107" s="21"/>
      <c r="R1107" s="22"/>
      <c r="S1107" s="22"/>
      <c r="T1107" s="20"/>
      <c r="U1107" s="22"/>
      <c r="V1107" s="20"/>
    </row>
    <row r="1108" spans="1:22" ht="25.2" thickBot="1">
      <c r="A1108" s="64" t="s">
        <v>644</v>
      </c>
      <c r="B1108" s="72"/>
      <c r="C1108" s="72"/>
      <c r="D1108" s="72"/>
      <c r="E1108" s="72"/>
      <c r="F1108" s="72"/>
      <c r="G1108" s="102"/>
      <c r="H1108" s="72"/>
      <c r="I1108" s="72"/>
      <c r="J1108" s="72"/>
      <c r="K1108" s="72"/>
      <c r="L1108" s="74"/>
      <c r="M1108" s="20"/>
      <c r="N1108" s="20"/>
      <c r="O1108" s="20"/>
      <c r="P1108" s="20"/>
      <c r="Q1108" s="21"/>
      <c r="R1108" s="22"/>
      <c r="S1108" s="22"/>
      <c r="T1108" s="20"/>
      <c r="U1108" s="22"/>
      <c r="V1108" s="20"/>
    </row>
    <row r="1109" spans="1:22" ht="14.4">
      <c r="A1109" s="386" t="s">
        <v>1592</v>
      </c>
      <c r="B1109" s="77" t="s">
        <v>78</v>
      </c>
      <c r="C1109" s="396">
        <v>160</v>
      </c>
      <c r="D1109" s="410">
        <v>198</v>
      </c>
      <c r="E1109" s="396">
        <v>78</v>
      </c>
      <c r="F1109" s="396">
        <v>65</v>
      </c>
      <c r="G1109" s="21">
        <f t="shared" ref="G1109:G1172" si="101">IF(B1109="","",AVERAGE(E1109:F1109)*D1109*C1109/10^6)</f>
        <v>2.26512</v>
      </c>
      <c r="H1109" s="78">
        <f t="shared" ref="H1109:H1140" si="102">ROUND(C1109*D1109*E1109/10^6,3)</f>
        <v>2.4710000000000001</v>
      </c>
      <c r="I1109" s="78">
        <f t="shared" ref="I1109:I1140" si="103">IF(F1109="","-",ROUND((E1109+F1109)*C1109/2*D1109/10^6,3))</f>
        <v>2.2650000000000001</v>
      </c>
      <c r="J1109" s="78">
        <f t="shared" ref="J1109:J1140" si="104">IF(F1109="","-",ROUND((D1109+E1109)*C1109/2*F1109/10^6,3))</f>
        <v>1.4350000000000001</v>
      </c>
      <c r="K1109" s="79"/>
      <c r="L1109" s="767"/>
      <c r="M1109" s="20"/>
      <c r="N1109" s="20"/>
      <c r="O1109" s="20"/>
      <c r="P1109" s="20"/>
      <c r="Q1109" s="21"/>
      <c r="R1109" s="22" t="s">
        <v>16</v>
      </c>
      <c r="S1109" s="22" t="s">
        <v>16</v>
      </c>
      <c r="T1109" s="20"/>
      <c r="U1109" s="22">
        <f>U1108</f>
        <v>0</v>
      </c>
      <c r="V1109" s="20"/>
    </row>
    <row r="1110" spans="1:22" ht="14.4">
      <c r="A1110" s="392" t="s">
        <v>1593</v>
      </c>
      <c r="B1110" s="2" t="s">
        <v>78</v>
      </c>
      <c r="C1110" s="397">
        <v>160</v>
      </c>
      <c r="D1110" s="409">
        <v>198</v>
      </c>
      <c r="E1110" s="397">
        <v>76</v>
      </c>
      <c r="F1110" s="397">
        <v>67</v>
      </c>
      <c r="G1110" s="21">
        <f t="shared" si="101"/>
        <v>2.26512</v>
      </c>
      <c r="H1110" s="20">
        <f t="shared" si="102"/>
        <v>2.4079999999999999</v>
      </c>
      <c r="I1110" s="20">
        <f t="shared" si="103"/>
        <v>2.2650000000000001</v>
      </c>
      <c r="J1110" s="20">
        <f t="shared" si="104"/>
        <v>1.4690000000000001</v>
      </c>
      <c r="K1110" s="75"/>
      <c r="L1110" s="767"/>
      <c r="M1110" s="20"/>
      <c r="N1110" s="20"/>
      <c r="O1110" s="20"/>
      <c r="P1110" s="20"/>
      <c r="Q1110" s="21"/>
      <c r="R1110" s="22" t="s">
        <v>16</v>
      </c>
      <c r="S1110" s="22" t="s">
        <v>16</v>
      </c>
      <c r="T1110" s="20"/>
      <c r="U1110" s="22">
        <f t="shared" ref="U1110:U1173" si="105">U1109</f>
        <v>0</v>
      </c>
      <c r="V1110" s="20"/>
    </row>
    <row r="1111" spans="1:22" ht="14.4">
      <c r="A1111" s="392" t="s">
        <v>1594</v>
      </c>
      <c r="B1111" s="2" t="s">
        <v>78</v>
      </c>
      <c r="C1111" s="397">
        <v>160</v>
      </c>
      <c r="D1111" s="409">
        <v>198</v>
      </c>
      <c r="E1111" s="397">
        <v>75</v>
      </c>
      <c r="F1111" s="397">
        <v>68</v>
      </c>
      <c r="G1111" s="21">
        <f t="shared" si="101"/>
        <v>2.26512</v>
      </c>
      <c r="H1111" s="20">
        <f t="shared" si="102"/>
        <v>2.3759999999999999</v>
      </c>
      <c r="I1111" s="20">
        <f t="shared" si="103"/>
        <v>2.2650000000000001</v>
      </c>
      <c r="J1111" s="20">
        <f t="shared" si="104"/>
        <v>1.4850000000000001</v>
      </c>
      <c r="K1111" s="75"/>
      <c r="L1111" s="767"/>
      <c r="M1111" s="20"/>
      <c r="N1111" s="20"/>
      <c r="O1111" s="20"/>
      <c r="P1111" s="20"/>
      <c r="Q1111" s="21"/>
      <c r="R1111" s="22" t="s">
        <v>16</v>
      </c>
      <c r="S1111" s="22" t="s">
        <v>16</v>
      </c>
      <c r="T1111" s="20"/>
      <c r="U1111" s="22">
        <f t="shared" si="105"/>
        <v>0</v>
      </c>
      <c r="V1111" s="20"/>
    </row>
    <row r="1112" spans="1:22" ht="14.4">
      <c r="A1112" s="387" t="s">
        <v>1595</v>
      </c>
      <c r="B1112" s="2" t="s">
        <v>78</v>
      </c>
      <c r="C1112" s="398">
        <v>160</v>
      </c>
      <c r="D1112" s="404">
        <v>198</v>
      </c>
      <c r="E1112" s="398">
        <v>74</v>
      </c>
      <c r="F1112" s="398">
        <v>69</v>
      </c>
      <c r="G1112" s="21">
        <f t="shared" si="101"/>
        <v>2.26512</v>
      </c>
      <c r="H1112" s="20">
        <f t="shared" si="102"/>
        <v>2.3439999999999999</v>
      </c>
      <c r="I1112" s="20">
        <f t="shared" si="103"/>
        <v>2.2650000000000001</v>
      </c>
      <c r="J1112" s="20">
        <f t="shared" si="104"/>
        <v>1.5009999999999999</v>
      </c>
      <c r="K1112" s="75"/>
      <c r="L1112" s="767"/>
      <c r="M1112" s="20"/>
      <c r="N1112" s="20"/>
      <c r="O1112" s="20"/>
      <c r="P1112" s="20"/>
      <c r="Q1112" s="21"/>
      <c r="R1112" s="22" t="s">
        <v>16</v>
      </c>
      <c r="S1112" s="22" t="s">
        <v>16</v>
      </c>
      <c r="T1112" s="20"/>
      <c r="U1112" s="22">
        <f t="shared" si="105"/>
        <v>0</v>
      </c>
      <c r="V1112" s="20"/>
    </row>
    <row r="1113" spans="1:22" ht="14.4">
      <c r="A1113" s="387" t="s">
        <v>1596</v>
      </c>
      <c r="B1113" s="2" t="s">
        <v>78</v>
      </c>
      <c r="C1113" s="398">
        <v>160</v>
      </c>
      <c r="D1113" s="404">
        <v>198</v>
      </c>
      <c r="E1113" s="398">
        <v>73</v>
      </c>
      <c r="F1113" s="398">
        <v>70</v>
      </c>
      <c r="G1113" s="21">
        <f t="shared" si="101"/>
        <v>2.26512</v>
      </c>
      <c r="H1113" s="20">
        <f t="shared" si="102"/>
        <v>2.3130000000000002</v>
      </c>
      <c r="I1113" s="20">
        <f t="shared" si="103"/>
        <v>2.2650000000000001</v>
      </c>
      <c r="J1113" s="20">
        <f t="shared" si="104"/>
        <v>1.518</v>
      </c>
      <c r="K1113" s="75"/>
      <c r="L1113" s="767"/>
      <c r="M1113" s="20"/>
      <c r="N1113" s="20"/>
      <c r="O1113" s="20"/>
      <c r="P1113" s="20"/>
      <c r="Q1113" s="21"/>
      <c r="R1113" s="22" t="s">
        <v>16</v>
      </c>
      <c r="S1113" s="22" t="s">
        <v>16</v>
      </c>
      <c r="T1113" s="20"/>
      <c r="U1113" s="22">
        <f t="shared" si="105"/>
        <v>0</v>
      </c>
      <c r="V1113" s="20"/>
    </row>
    <row r="1114" spans="1:22" ht="14.4">
      <c r="A1114" s="385" t="s">
        <v>79</v>
      </c>
      <c r="B1114" s="2" t="s">
        <v>78</v>
      </c>
      <c r="C1114" s="394">
        <v>180</v>
      </c>
      <c r="D1114" s="403">
        <v>198</v>
      </c>
      <c r="E1114" s="394">
        <v>78</v>
      </c>
      <c r="F1114" s="394">
        <v>65</v>
      </c>
      <c r="G1114" s="21">
        <f t="shared" si="101"/>
        <v>2.54826</v>
      </c>
      <c r="H1114" s="20">
        <f t="shared" si="102"/>
        <v>2.78</v>
      </c>
      <c r="I1114" s="20">
        <f t="shared" si="103"/>
        <v>2.548</v>
      </c>
      <c r="J1114" s="20">
        <f t="shared" si="104"/>
        <v>1.615</v>
      </c>
      <c r="K1114" s="75"/>
      <c r="L1114" s="767"/>
      <c r="M1114" s="20"/>
      <c r="N1114" s="20"/>
      <c r="O1114" s="20"/>
      <c r="P1114" s="20"/>
      <c r="Q1114" s="21"/>
      <c r="R1114" s="22" t="s">
        <v>16</v>
      </c>
      <c r="S1114" s="22" t="s">
        <v>16</v>
      </c>
      <c r="T1114" s="20"/>
      <c r="U1114" s="22">
        <f t="shared" si="105"/>
        <v>0</v>
      </c>
      <c r="V1114" s="20"/>
    </row>
    <row r="1115" spans="1:22" ht="14.4">
      <c r="A1115" s="385" t="s">
        <v>80</v>
      </c>
      <c r="B1115" s="2" t="s">
        <v>78</v>
      </c>
      <c r="C1115" s="394">
        <v>180</v>
      </c>
      <c r="D1115" s="403">
        <v>198</v>
      </c>
      <c r="E1115" s="394">
        <v>76.5</v>
      </c>
      <c r="F1115" s="394">
        <v>66.5</v>
      </c>
      <c r="G1115" s="21">
        <f t="shared" si="101"/>
        <v>2.54826</v>
      </c>
      <c r="H1115" s="20">
        <f t="shared" si="102"/>
        <v>2.726</v>
      </c>
      <c r="I1115" s="20">
        <f t="shared" si="103"/>
        <v>2.548</v>
      </c>
      <c r="J1115" s="20">
        <f t="shared" si="104"/>
        <v>1.643</v>
      </c>
      <c r="K1115" s="75"/>
      <c r="L1115" s="767"/>
      <c r="M1115" s="20"/>
      <c r="N1115" s="20"/>
      <c r="O1115" s="20"/>
      <c r="P1115" s="20"/>
      <c r="Q1115" s="21"/>
      <c r="R1115" s="22" t="s">
        <v>16</v>
      </c>
      <c r="S1115" s="22" t="s">
        <v>16</v>
      </c>
      <c r="T1115" s="20"/>
      <c r="U1115" s="22">
        <f t="shared" si="105"/>
        <v>0</v>
      </c>
      <c r="V1115" s="20"/>
    </row>
    <row r="1116" spans="1:22" ht="14.4">
      <c r="A1116" s="385" t="s">
        <v>81</v>
      </c>
      <c r="B1116" s="2" t="s">
        <v>78</v>
      </c>
      <c r="C1116" s="394">
        <v>180</v>
      </c>
      <c r="D1116" s="403">
        <v>198</v>
      </c>
      <c r="E1116" s="394">
        <v>75</v>
      </c>
      <c r="F1116" s="394">
        <v>68</v>
      </c>
      <c r="G1116" s="21">
        <f t="shared" si="101"/>
        <v>2.54826</v>
      </c>
      <c r="H1116" s="20">
        <f t="shared" si="102"/>
        <v>2.673</v>
      </c>
      <c r="I1116" s="20">
        <f t="shared" si="103"/>
        <v>2.548</v>
      </c>
      <c r="J1116" s="20">
        <f t="shared" si="104"/>
        <v>1.671</v>
      </c>
      <c r="K1116" s="75"/>
      <c r="L1116" s="767"/>
      <c r="M1116" s="20"/>
      <c r="N1116" s="20"/>
      <c r="O1116" s="20"/>
      <c r="P1116" s="20"/>
      <c r="Q1116" s="21"/>
      <c r="R1116" s="22" t="s">
        <v>16</v>
      </c>
      <c r="S1116" s="22" t="s">
        <v>16</v>
      </c>
      <c r="T1116" s="20"/>
      <c r="U1116" s="22">
        <f t="shared" si="105"/>
        <v>0</v>
      </c>
      <c r="V1116" s="20"/>
    </row>
    <row r="1117" spans="1:22" ht="14.4">
      <c r="A1117" s="385" t="s">
        <v>1597</v>
      </c>
      <c r="B1117" s="2" t="s">
        <v>78</v>
      </c>
      <c r="C1117" s="394">
        <v>180</v>
      </c>
      <c r="D1117" s="403">
        <v>198</v>
      </c>
      <c r="E1117" s="394">
        <v>74.5</v>
      </c>
      <c r="F1117" s="394">
        <v>68.5</v>
      </c>
      <c r="G1117" s="21">
        <f t="shared" si="101"/>
        <v>2.54826</v>
      </c>
      <c r="H1117" s="20">
        <f t="shared" si="102"/>
        <v>2.6549999999999998</v>
      </c>
      <c r="I1117" s="20">
        <f t="shared" si="103"/>
        <v>2.548</v>
      </c>
      <c r="J1117" s="20">
        <f t="shared" si="104"/>
        <v>1.68</v>
      </c>
      <c r="K1117" s="75"/>
      <c r="L1117" s="767"/>
      <c r="M1117" s="20"/>
      <c r="N1117" s="20"/>
      <c r="O1117" s="20"/>
      <c r="P1117" s="20"/>
      <c r="Q1117" s="21"/>
      <c r="R1117" s="22" t="s">
        <v>16</v>
      </c>
      <c r="S1117" s="22" t="s">
        <v>16</v>
      </c>
      <c r="T1117" s="20"/>
      <c r="U1117" s="22">
        <f t="shared" si="105"/>
        <v>0</v>
      </c>
      <c r="V1117" s="20"/>
    </row>
    <row r="1118" spans="1:22" ht="14.4">
      <c r="A1118" s="385" t="s">
        <v>82</v>
      </c>
      <c r="B1118" s="2" t="s">
        <v>78</v>
      </c>
      <c r="C1118" s="394">
        <v>180</v>
      </c>
      <c r="D1118" s="403">
        <v>198</v>
      </c>
      <c r="E1118" s="394">
        <v>74</v>
      </c>
      <c r="F1118" s="394">
        <v>69</v>
      </c>
      <c r="G1118" s="21">
        <f t="shared" si="101"/>
        <v>2.54826</v>
      </c>
      <c r="H1118" s="20">
        <f t="shared" si="102"/>
        <v>2.637</v>
      </c>
      <c r="I1118" s="20">
        <f t="shared" si="103"/>
        <v>2.548</v>
      </c>
      <c r="J1118" s="20">
        <f t="shared" si="104"/>
        <v>1.6890000000000001</v>
      </c>
      <c r="K1118" s="75"/>
      <c r="L1118" s="767"/>
      <c r="M1118" s="20"/>
      <c r="N1118" s="20"/>
      <c r="O1118" s="20"/>
      <c r="P1118" s="20"/>
      <c r="Q1118" s="21"/>
      <c r="R1118" s="22" t="s">
        <v>16</v>
      </c>
      <c r="S1118" s="22" t="s">
        <v>16</v>
      </c>
      <c r="T1118" s="20"/>
      <c r="U1118" s="22">
        <f t="shared" si="105"/>
        <v>0</v>
      </c>
      <c r="V1118" s="20"/>
    </row>
    <row r="1119" spans="1:22" ht="14.4">
      <c r="A1119" s="389" t="s">
        <v>83</v>
      </c>
      <c r="B1119" s="2" t="s">
        <v>78</v>
      </c>
      <c r="C1119" s="395">
        <v>200</v>
      </c>
      <c r="D1119" s="405">
        <v>198</v>
      </c>
      <c r="E1119" s="395">
        <v>78</v>
      </c>
      <c r="F1119" s="395">
        <v>65</v>
      </c>
      <c r="G1119" s="21">
        <f t="shared" si="101"/>
        <v>2.8313999999999999</v>
      </c>
      <c r="H1119" s="20">
        <f t="shared" si="102"/>
        <v>3.089</v>
      </c>
      <c r="I1119" s="20">
        <f t="shared" si="103"/>
        <v>2.831</v>
      </c>
      <c r="J1119" s="20">
        <f t="shared" si="104"/>
        <v>1.794</v>
      </c>
      <c r="K1119" s="75"/>
      <c r="L1119" s="767"/>
      <c r="M1119" s="20"/>
      <c r="N1119" s="20"/>
      <c r="O1119" s="20"/>
      <c r="P1119" s="20"/>
      <c r="Q1119" s="21"/>
      <c r="R1119" s="22" t="s">
        <v>16</v>
      </c>
      <c r="S1119" s="22" t="s">
        <v>16</v>
      </c>
      <c r="T1119" s="20"/>
      <c r="U1119" s="22">
        <f t="shared" si="105"/>
        <v>0</v>
      </c>
      <c r="V1119" s="20"/>
    </row>
    <row r="1120" spans="1:22" ht="14.4">
      <c r="A1120" s="389" t="s">
        <v>84</v>
      </c>
      <c r="B1120" s="2" t="s">
        <v>78</v>
      </c>
      <c r="C1120" s="395">
        <v>200</v>
      </c>
      <c r="D1120" s="405">
        <v>198</v>
      </c>
      <c r="E1120" s="395">
        <v>76.5</v>
      </c>
      <c r="F1120" s="395">
        <v>66.5</v>
      </c>
      <c r="G1120" s="21">
        <f t="shared" si="101"/>
        <v>2.8313999999999999</v>
      </c>
      <c r="H1120" s="20">
        <f t="shared" si="102"/>
        <v>3.0289999999999999</v>
      </c>
      <c r="I1120" s="20">
        <f t="shared" si="103"/>
        <v>2.831</v>
      </c>
      <c r="J1120" s="20">
        <f t="shared" si="104"/>
        <v>1.825</v>
      </c>
      <c r="K1120" s="75"/>
      <c r="L1120" s="767"/>
      <c r="M1120" s="20"/>
      <c r="N1120" s="20"/>
      <c r="O1120" s="20"/>
      <c r="P1120" s="20"/>
      <c r="Q1120" s="21"/>
      <c r="R1120" s="22" t="s">
        <v>16</v>
      </c>
      <c r="S1120" s="22" t="s">
        <v>16</v>
      </c>
      <c r="T1120" s="20"/>
      <c r="U1120" s="22">
        <f t="shared" si="105"/>
        <v>0</v>
      </c>
      <c r="V1120" s="20"/>
    </row>
    <row r="1121" spans="1:22" ht="14.4">
      <c r="A1121" s="389" t="s">
        <v>85</v>
      </c>
      <c r="B1121" s="2" t="s">
        <v>78</v>
      </c>
      <c r="C1121" s="395">
        <v>200</v>
      </c>
      <c r="D1121" s="405">
        <v>198</v>
      </c>
      <c r="E1121" s="395">
        <v>75</v>
      </c>
      <c r="F1121" s="395">
        <v>68</v>
      </c>
      <c r="G1121" s="21">
        <f t="shared" si="101"/>
        <v>2.8313999999999999</v>
      </c>
      <c r="H1121" s="20">
        <f t="shared" si="102"/>
        <v>2.97</v>
      </c>
      <c r="I1121" s="20">
        <f t="shared" si="103"/>
        <v>2.831</v>
      </c>
      <c r="J1121" s="20">
        <f t="shared" si="104"/>
        <v>1.8560000000000001</v>
      </c>
      <c r="K1121" s="75"/>
      <c r="L1121" s="767"/>
      <c r="M1121" s="20"/>
      <c r="N1121" s="20"/>
      <c r="O1121" s="20"/>
      <c r="P1121" s="20"/>
      <c r="Q1121" s="21"/>
      <c r="R1121" s="22" t="s">
        <v>16</v>
      </c>
      <c r="S1121" s="22" t="s">
        <v>16</v>
      </c>
      <c r="T1121" s="20"/>
      <c r="U1121" s="22">
        <f t="shared" si="105"/>
        <v>0</v>
      </c>
      <c r="V1121" s="20"/>
    </row>
    <row r="1122" spans="1:22" ht="14.4">
      <c r="A1122" s="389" t="s">
        <v>1598</v>
      </c>
      <c r="B1122" s="2" t="s">
        <v>78</v>
      </c>
      <c r="C1122" s="395">
        <v>200</v>
      </c>
      <c r="D1122" s="405">
        <v>198</v>
      </c>
      <c r="E1122" s="395">
        <v>74.5</v>
      </c>
      <c r="F1122" s="395">
        <v>68.5</v>
      </c>
      <c r="G1122" s="21">
        <f t="shared" si="101"/>
        <v>2.8313999999999999</v>
      </c>
      <c r="H1122" s="20">
        <f t="shared" si="102"/>
        <v>2.95</v>
      </c>
      <c r="I1122" s="20">
        <f t="shared" si="103"/>
        <v>2.831</v>
      </c>
      <c r="J1122" s="20">
        <f t="shared" si="104"/>
        <v>1.867</v>
      </c>
      <c r="K1122" s="75"/>
      <c r="L1122" s="767"/>
      <c r="M1122" s="20"/>
      <c r="N1122" s="20"/>
      <c r="O1122" s="20"/>
      <c r="P1122" s="20"/>
      <c r="Q1122" s="21"/>
      <c r="R1122" s="22" t="s">
        <v>16</v>
      </c>
      <c r="S1122" s="22" t="s">
        <v>16</v>
      </c>
      <c r="T1122" s="20"/>
      <c r="U1122" s="22">
        <f t="shared" si="105"/>
        <v>0</v>
      </c>
      <c r="V1122" s="20"/>
    </row>
    <row r="1123" spans="1:22" ht="14.4">
      <c r="A1123" s="389" t="s">
        <v>86</v>
      </c>
      <c r="B1123" s="2" t="s">
        <v>78</v>
      </c>
      <c r="C1123" s="395">
        <v>200</v>
      </c>
      <c r="D1123" s="405">
        <v>198</v>
      </c>
      <c r="E1123" s="395">
        <v>74</v>
      </c>
      <c r="F1123" s="395">
        <v>69</v>
      </c>
      <c r="G1123" s="21">
        <f t="shared" si="101"/>
        <v>2.8313999999999999</v>
      </c>
      <c r="H1123" s="20">
        <f t="shared" si="102"/>
        <v>2.93</v>
      </c>
      <c r="I1123" s="20">
        <f t="shared" si="103"/>
        <v>2.831</v>
      </c>
      <c r="J1123" s="20">
        <f t="shared" si="104"/>
        <v>1.877</v>
      </c>
      <c r="K1123" s="75"/>
      <c r="L1123" s="767"/>
      <c r="M1123" s="20"/>
      <c r="N1123" s="20"/>
      <c r="O1123" s="20"/>
      <c r="P1123" s="20"/>
      <c r="Q1123" s="21"/>
      <c r="R1123" s="22" t="s">
        <v>16</v>
      </c>
      <c r="S1123" s="22" t="s">
        <v>16</v>
      </c>
      <c r="T1123" s="20"/>
      <c r="U1123" s="22">
        <f t="shared" si="105"/>
        <v>0</v>
      </c>
      <c r="V1123" s="20"/>
    </row>
    <row r="1124" spans="1:22" ht="14.4">
      <c r="A1124" s="389" t="s">
        <v>1599</v>
      </c>
      <c r="B1124" s="2" t="s">
        <v>78</v>
      </c>
      <c r="C1124" s="395">
        <v>200</v>
      </c>
      <c r="D1124" s="405">
        <v>198</v>
      </c>
      <c r="E1124" s="395">
        <v>73.5</v>
      </c>
      <c r="F1124" s="395">
        <v>69.5</v>
      </c>
      <c r="G1124" s="21">
        <f t="shared" si="101"/>
        <v>2.8313999999999999</v>
      </c>
      <c r="H1124" s="20">
        <f t="shared" si="102"/>
        <v>2.911</v>
      </c>
      <c r="I1124" s="20">
        <f t="shared" si="103"/>
        <v>2.831</v>
      </c>
      <c r="J1124" s="20">
        <f t="shared" si="104"/>
        <v>1.887</v>
      </c>
      <c r="K1124" s="75"/>
      <c r="L1124" s="767"/>
      <c r="M1124" s="20"/>
      <c r="N1124" s="20"/>
      <c r="O1124" s="20"/>
      <c r="P1124" s="20"/>
      <c r="Q1124" s="21"/>
      <c r="R1124" s="22" t="s">
        <v>16</v>
      </c>
      <c r="S1124" s="22" t="s">
        <v>16</v>
      </c>
      <c r="T1124" s="20"/>
      <c r="U1124" s="22">
        <f t="shared" si="105"/>
        <v>0</v>
      </c>
      <c r="V1124" s="20"/>
    </row>
    <row r="1125" spans="1:22" ht="14.4">
      <c r="A1125" s="388" t="s">
        <v>87</v>
      </c>
      <c r="B1125" s="2" t="s">
        <v>78</v>
      </c>
      <c r="C1125" s="399">
        <v>220</v>
      </c>
      <c r="D1125" s="406">
        <v>198</v>
      </c>
      <c r="E1125" s="399">
        <v>78</v>
      </c>
      <c r="F1125" s="399">
        <v>65</v>
      </c>
      <c r="G1125" s="21">
        <f t="shared" si="101"/>
        <v>3.1145399999999999</v>
      </c>
      <c r="H1125" s="20">
        <f t="shared" si="102"/>
        <v>3.3980000000000001</v>
      </c>
      <c r="I1125" s="20">
        <f t="shared" si="103"/>
        <v>3.1150000000000002</v>
      </c>
      <c r="J1125" s="20">
        <f t="shared" si="104"/>
        <v>1.9730000000000001</v>
      </c>
      <c r="K1125" s="75"/>
      <c r="L1125" s="767"/>
      <c r="M1125" s="20"/>
      <c r="N1125" s="20"/>
      <c r="O1125" s="20"/>
      <c r="P1125" s="20"/>
      <c r="Q1125" s="21"/>
      <c r="R1125" s="22" t="s">
        <v>16</v>
      </c>
      <c r="S1125" s="22" t="s">
        <v>16</v>
      </c>
      <c r="T1125" s="20"/>
      <c r="U1125" s="22">
        <f t="shared" si="105"/>
        <v>0</v>
      </c>
      <c r="V1125" s="20"/>
    </row>
    <row r="1126" spans="1:22" ht="14.4">
      <c r="A1126" s="388" t="s">
        <v>88</v>
      </c>
      <c r="B1126" s="2" t="s">
        <v>78</v>
      </c>
      <c r="C1126" s="399">
        <v>220</v>
      </c>
      <c r="D1126" s="406">
        <v>198</v>
      </c>
      <c r="E1126" s="399">
        <v>76.5</v>
      </c>
      <c r="F1126" s="399">
        <v>66.5</v>
      </c>
      <c r="G1126" s="21">
        <f t="shared" si="101"/>
        <v>3.1145399999999999</v>
      </c>
      <c r="H1126" s="20">
        <f t="shared" si="102"/>
        <v>3.3319999999999999</v>
      </c>
      <c r="I1126" s="20">
        <f t="shared" si="103"/>
        <v>3.1150000000000002</v>
      </c>
      <c r="J1126" s="20">
        <f t="shared" si="104"/>
        <v>2.008</v>
      </c>
      <c r="K1126" s="75"/>
      <c r="L1126" s="767"/>
      <c r="M1126" s="20"/>
      <c r="N1126" s="20"/>
      <c r="O1126" s="20"/>
      <c r="P1126" s="20"/>
      <c r="Q1126" s="21"/>
      <c r="R1126" s="22" t="s">
        <v>16</v>
      </c>
      <c r="S1126" s="22" t="s">
        <v>16</v>
      </c>
      <c r="T1126" s="20"/>
      <c r="U1126" s="22">
        <f t="shared" si="105"/>
        <v>0</v>
      </c>
      <c r="V1126" s="20"/>
    </row>
    <row r="1127" spans="1:22" ht="14.4">
      <c r="A1127" s="388" t="s">
        <v>89</v>
      </c>
      <c r="B1127" s="2" t="s">
        <v>78</v>
      </c>
      <c r="C1127" s="399">
        <v>220</v>
      </c>
      <c r="D1127" s="406">
        <v>198</v>
      </c>
      <c r="E1127" s="399">
        <v>75</v>
      </c>
      <c r="F1127" s="399">
        <v>68</v>
      </c>
      <c r="G1127" s="21">
        <f t="shared" si="101"/>
        <v>3.1145399999999999</v>
      </c>
      <c r="H1127" s="20">
        <f t="shared" si="102"/>
        <v>3.2669999999999999</v>
      </c>
      <c r="I1127" s="20">
        <f t="shared" si="103"/>
        <v>3.1150000000000002</v>
      </c>
      <c r="J1127" s="20">
        <f t="shared" si="104"/>
        <v>2.0419999999999998</v>
      </c>
      <c r="K1127" s="75"/>
      <c r="L1127" s="767"/>
      <c r="M1127" s="20"/>
      <c r="N1127" s="20"/>
      <c r="O1127" s="20"/>
      <c r="P1127" s="20"/>
      <c r="Q1127" s="21"/>
      <c r="R1127" s="22" t="s">
        <v>16</v>
      </c>
      <c r="S1127" s="22" t="s">
        <v>16</v>
      </c>
      <c r="T1127" s="20"/>
      <c r="U1127" s="22">
        <f t="shared" si="105"/>
        <v>0</v>
      </c>
      <c r="V1127" s="20"/>
    </row>
    <row r="1128" spans="1:22" ht="14.4">
      <c r="A1128" s="388" t="s">
        <v>1600</v>
      </c>
      <c r="B1128" s="2" t="s">
        <v>78</v>
      </c>
      <c r="C1128" s="399">
        <v>220</v>
      </c>
      <c r="D1128" s="406">
        <v>198</v>
      </c>
      <c r="E1128" s="399">
        <v>74.5</v>
      </c>
      <c r="F1128" s="399">
        <v>68.5</v>
      </c>
      <c r="G1128" s="21">
        <f t="shared" si="101"/>
        <v>3.1145399999999999</v>
      </c>
      <c r="H1128" s="20">
        <f t="shared" si="102"/>
        <v>3.2450000000000001</v>
      </c>
      <c r="I1128" s="20">
        <f t="shared" si="103"/>
        <v>3.1150000000000002</v>
      </c>
      <c r="J1128" s="20">
        <f t="shared" si="104"/>
        <v>2.0529999999999999</v>
      </c>
      <c r="K1128" s="75"/>
      <c r="L1128" s="767"/>
      <c r="M1128" s="20"/>
      <c r="N1128" s="20"/>
      <c r="O1128" s="20"/>
      <c r="P1128" s="20"/>
      <c r="Q1128" s="21"/>
      <c r="R1128" s="22" t="s">
        <v>16</v>
      </c>
      <c r="S1128" s="22" t="s">
        <v>16</v>
      </c>
      <c r="T1128" s="20"/>
      <c r="U1128" s="22">
        <f t="shared" si="105"/>
        <v>0</v>
      </c>
      <c r="V1128" s="20"/>
    </row>
    <row r="1129" spans="1:22" ht="14.4">
      <c r="A1129" s="388" t="s">
        <v>90</v>
      </c>
      <c r="B1129" s="2" t="s">
        <v>78</v>
      </c>
      <c r="C1129" s="399">
        <v>220</v>
      </c>
      <c r="D1129" s="406">
        <v>198</v>
      </c>
      <c r="E1129" s="399">
        <v>74</v>
      </c>
      <c r="F1129" s="399">
        <v>69</v>
      </c>
      <c r="G1129" s="21">
        <f t="shared" si="101"/>
        <v>3.1145399999999999</v>
      </c>
      <c r="H1129" s="20">
        <f t="shared" si="102"/>
        <v>3.2229999999999999</v>
      </c>
      <c r="I1129" s="20">
        <f t="shared" si="103"/>
        <v>3.1150000000000002</v>
      </c>
      <c r="J1129" s="20">
        <f t="shared" si="104"/>
        <v>2.0640000000000001</v>
      </c>
      <c r="K1129" s="75"/>
      <c r="L1129" s="767"/>
      <c r="M1129" s="20"/>
      <c r="N1129" s="20"/>
      <c r="O1129" s="20"/>
      <c r="P1129" s="20"/>
      <c r="Q1129" s="21"/>
      <c r="R1129" s="22" t="s">
        <v>16</v>
      </c>
      <c r="S1129" s="22" t="s">
        <v>16</v>
      </c>
      <c r="T1129" s="20"/>
      <c r="U1129" s="22">
        <f t="shared" si="105"/>
        <v>0</v>
      </c>
      <c r="V1129" s="20"/>
    </row>
    <row r="1130" spans="1:22" ht="14.4">
      <c r="A1130" s="388" t="s">
        <v>1601</v>
      </c>
      <c r="B1130" s="2" t="s">
        <v>78</v>
      </c>
      <c r="C1130" s="399">
        <v>220</v>
      </c>
      <c r="D1130" s="406">
        <v>198</v>
      </c>
      <c r="E1130" s="399">
        <v>73.5</v>
      </c>
      <c r="F1130" s="399">
        <v>69.5</v>
      </c>
      <c r="G1130" s="21">
        <f t="shared" si="101"/>
        <v>3.1145399999999999</v>
      </c>
      <c r="H1130" s="20">
        <f t="shared" si="102"/>
        <v>3.202</v>
      </c>
      <c r="I1130" s="20">
        <f t="shared" si="103"/>
        <v>3.1150000000000002</v>
      </c>
      <c r="J1130" s="20">
        <f t="shared" si="104"/>
        <v>2.0760000000000001</v>
      </c>
      <c r="K1130" s="75"/>
      <c r="L1130" s="767"/>
      <c r="M1130" s="20"/>
      <c r="N1130" s="20"/>
      <c r="O1130" s="20"/>
      <c r="P1130" s="20"/>
      <c r="Q1130" s="21"/>
      <c r="R1130" s="22" t="s">
        <v>16</v>
      </c>
      <c r="S1130" s="22" t="s">
        <v>16</v>
      </c>
      <c r="T1130" s="20"/>
      <c r="U1130" s="22">
        <f t="shared" si="105"/>
        <v>0</v>
      </c>
      <c r="V1130" s="20"/>
    </row>
    <row r="1131" spans="1:22" ht="14.4">
      <c r="A1131" s="390" t="s">
        <v>1602</v>
      </c>
      <c r="B1131" s="2" t="s">
        <v>78</v>
      </c>
      <c r="C1131" s="400">
        <v>250</v>
      </c>
      <c r="D1131" s="408">
        <v>198</v>
      </c>
      <c r="E1131" s="400">
        <v>82</v>
      </c>
      <c r="F1131" s="400">
        <v>61</v>
      </c>
      <c r="G1131" s="21">
        <f t="shared" si="101"/>
        <v>3.53925</v>
      </c>
      <c r="H1131" s="20">
        <f t="shared" si="102"/>
        <v>4.0590000000000002</v>
      </c>
      <c r="I1131" s="20">
        <f t="shared" si="103"/>
        <v>3.5390000000000001</v>
      </c>
      <c r="J1131" s="20">
        <f t="shared" si="104"/>
        <v>2.1349999999999998</v>
      </c>
      <c r="K1131" s="75"/>
      <c r="L1131" s="767"/>
      <c r="M1131" s="20"/>
      <c r="N1131" s="20"/>
      <c r="O1131" s="20"/>
      <c r="P1131" s="20"/>
      <c r="Q1131" s="21"/>
      <c r="R1131" s="22" t="s">
        <v>16</v>
      </c>
      <c r="S1131" s="22" t="s">
        <v>16</v>
      </c>
      <c r="T1131" s="20"/>
      <c r="U1131" s="22">
        <f t="shared" si="105"/>
        <v>0</v>
      </c>
      <c r="V1131" s="20"/>
    </row>
    <row r="1132" spans="1:22" ht="14.4">
      <c r="A1132" s="390" t="s">
        <v>91</v>
      </c>
      <c r="B1132" s="2" t="s">
        <v>78</v>
      </c>
      <c r="C1132" s="400">
        <v>250</v>
      </c>
      <c r="D1132" s="408">
        <v>198</v>
      </c>
      <c r="E1132" s="400">
        <v>78</v>
      </c>
      <c r="F1132" s="400">
        <v>65</v>
      </c>
      <c r="G1132" s="21">
        <f t="shared" si="101"/>
        <v>3.53925</v>
      </c>
      <c r="H1132" s="20">
        <f t="shared" si="102"/>
        <v>3.8610000000000002</v>
      </c>
      <c r="I1132" s="20">
        <f t="shared" si="103"/>
        <v>3.5390000000000001</v>
      </c>
      <c r="J1132" s="20">
        <f t="shared" si="104"/>
        <v>2.2429999999999999</v>
      </c>
      <c r="K1132" s="75"/>
      <c r="L1132" s="767"/>
      <c r="M1132" s="20"/>
      <c r="N1132" s="20"/>
      <c r="O1132" s="20"/>
      <c r="P1132" s="20"/>
      <c r="Q1132" s="21"/>
      <c r="R1132" s="22" t="s">
        <v>16</v>
      </c>
      <c r="S1132" s="22" t="s">
        <v>16</v>
      </c>
      <c r="T1132" s="20"/>
      <c r="U1132" s="22">
        <f t="shared" si="105"/>
        <v>0</v>
      </c>
      <c r="V1132" s="20"/>
    </row>
    <row r="1133" spans="1:22" ht="14.4">
      <c r="A1133" s="390" t="s">
        <v>92</v>
      </c>
      <c r="B1133" s="2" t="s">
        <v>78</v>
      </c>
      <c r="C1133" s="400">
        <v>250</v>
      </c>
      <c r="D1133" s="408">
        <v>198</v>
      </c>
      <c r="E1133" s="400">
        <v>76.5</v>
      </c>
      <c r="F1133" s="400">
        <v>66.5</v>
      </c>
      <c r="G1133" s="21">
        <f t="shared" si="101"/>
        <v>3.53925</v>
      </c>
      <c r="H1133" s="20">
        <f t="shared" si="102"/>
        <v>3.7869999999999999</v>
      </c>
      <c r="I1133" s="20">
        <f t="shared" si="103"/>
        <v>3.5390000000000001</v>
      </c>
      <c r="J1133" s="20">
        <f t="shared" si="104"/>
        <v>2.282</v>
      </c>
      <c r="K1133" s="75"/>
      <c r="L1133" s="767"/>
      <c r="M1133" s="20"/>
      <c r="N1133" s="20"/>
      <c r="O1133" s="20"/>
      <c r="P1133" s="20"/>
      <c r="Q1133" s="21"/>
      <c r="R1133" s="22" t="s">
        <v>16</v>
      </c>
      <c r="S1133" s="22" t="s">
        <v>16</v>
      </c>
      <c r="T1133" s="20"/>
      <c r="U1133" s="22">
        <f t="shared" si="105"/>
        <v>0</v>
      </c>
      <c r="V1133" s="20"/>
    </row>
    <row r="1134" spans="1:22" ht="14.4">
      <c r="A1134" s="390" t="s">
        <v>93</v>
      </c>
      <c r="B1134" s="2" t="s">
        <v>78</v>
      </c>
      <c r="C1134" s="400">
        <v>250</v>
      </c>
      <c r="D1134" s="408">
        <v>198</v>
      </c>
      <c r="E1134" s="400">
        <v>75</v>
      </c>
      <c r="F1134" s="400">
        <v>68</v>
      </c>
      <c r="G1134" s="21">
        <f t="shared" si="101"/>
        <v>3.53925</v>
      </c>
      <c r="H1134" s="20">
        <f t="shared" si="102"/>
        <v>3.7130000000000001</v>
      </c>
      <c r="I1134" s="20">
        <f t="shared" si="103"/>
        <v>3.5390000000000001</v>
      </c>
      <c r="J1134" s="20">
        <f t="shared" si="104"/>
        <v>2.3210000000000002</v>
      </c>
      <c r="K1134" s="75"/>
      <c r="L1134" s="767"/>
      <c r="M1134" s="20"/>
      <c r="N1134" s="20"/>
      <c r="O1134" s="20"/>
      <c r="P1134" s="20"/>
      <c r="Q1134" s="21"/>
      <c r="R1134" s="22" t="s">
        <v>16</v>
      </c>
      <c r="S1134" s="22" t="s">
        <v>16</v>
      </c>
      <c r="T1134" s="20"/>
      <c r="U1134" s="22">
        <f t="shared" si="105"/>
        <v>0</v>
      </c>
      <c r="V1134" s="20"/>
    </row>
    <row r="1135" spans="1:22" ht="14.4">
      <c r="A1135" s="390" t="s">
        <v>94</v>
      </c>
      <c r="B1135" s="2" t="s">
        <v>78</v>
      </c>
      <c r="C1135" s="400">
        <v>250</v>
      </c>
      <c r="D1135" s="408">
        <v>198</v>
      </c>
      <c r="E1135" s="400">
        <v>74.5</v>
      </c>
      <c r="F1135" s="400">
        <v>68.5</v>
      </c>
      <c r="G1135" s="21">
        <f t="shared" si="101"/>
        <v>3.53925</v>
      </c>
      <c r="H1135" s="20">
        <f t="shared" si="102"/>
        <v>3.6880000000000002</v>
      </c>
      <c r="I1135" s="20">
        <f t="shared" si="103"/>
        <v>3.5390000000000001</v>
      </c>
      <c r="J1135" s="20">
        <f t="shared" si="104"/>
        <v>2.3330000000000002</v>
      </c>
      <c r="K1135" s="75"/>
      <c r="L1135" s="767"/>
      <c r="M1135" s="20"/>
      <c r="N1135" s="20"/>
      <c r="O1135" s="20"/>
      <c r="P1135" s="20"/>
      <c r="Q1135" s="21"/>
      <c r="R1135" s="22" t="s">
        <v>16</v>
      </c>
      <c r="S1135" s="22" t="s">
        <v>16</v>
      </c>
      <c r="T1135" s="20"/>
      <c r="U1135" s="22">
        <f t="shared" si="105"/>
        <v>0</v>
      </c>
      <c r="V1135" s="20"/>
    </row>
    <row r="1136" spans="1:22" ht="14.4">
      <c r="A1136" s="390" t="s">
        <v>19</v>
      </c>
      <c r="B1136" s="2" t="s">
        <v>78</v>
      </c>
      <c r="C1136" s="400">
        <v>250</v>
      </c>
      <c r="D1136" s="408">
        <v>198</v>
      </c>
      <c r="E1136" s="400">
        <v>74</v>
      </c>
      <c r="F1136" s="400">
        <v>69</v>
      </c>
      <c r="G1136" s="21">
        <f t="shared" si="101"/>
        <v>3.53925</v>
      </c>
      <c r="H1136" s="20">
        <f t="shared" si="102"/>
        <v>3.6629999999999998</v>
      </c>
      <c r="I1136" s="20">
        <f t="shared" si="103"/>
        <v>3.5390000000000001</v>
      </c>
      <c r="J1136" s="20">
        <f t="shared" si="104"/>
        <v>2.3460000000000001</v>
      </c>
      <c r="K1136" s="75"/>
      <c r="L1136" s="767"/>
      <c r="M1136" s="20"/>
      <c r="N1136" s="20"/>
      <c r="O1136" s="20"/>
      <c r="P1136" s="20"/>
      <c r="Q1136" s="21"/>
      <c r="R1136" s="22" t="s">
        <v>16</v>
      </c>
      <c r="S1136" s="22" t="s">
        <v>16</v>
      </c>
      <c r="T1136" s="20"/>
      <c r="U1136" s="22">
        <f t="shared" si="105"/>
        <v>0</v>
      </c>
      <c r="V1136" s="20"/>
    </row>
    <row r="1137" spans="1:22" ht="14.4">
      <c r="A1137" s="390" t="s">
        <v>18</v>
      </c>
      <c r="B1137" s="2" t="s">
        <v>78</v>
      </c>
      <c r="C1137" s="400">
        <v>250</v>
      </c>
      <c r="D1137" s="408">
        <v>198</v>
      </c>
      <c r="E1137" s="400">
        <v>73.5</v>
      </c>
      <c r="F1137" s="400">
        <v>69.5</v>
      </c>
      <c r="G1137" s="21">
        <f t="shared" si="101"/>
        <v>3.53925</v>
      </c>
      <c r="H1137" s="20">
        <f t="shared" si="102"/>
        <v>3.6379999999999999</v>
      </c>
      <c r="I1137" s="20">
        <f t="shared" si="103"/>
        <v>3.5390000000000001</v>
      </c>
      <c r="J1137" s="20">
        <f t="shared" si="104"/>
        <v>2.359</v>
      </c>
      <c r="K1137" s="75"/>
      <c r="L1137" s="767"/>
      <c r="M1137" s="20"/>
      <c r="N1137" s="20"/>
      <c r="O1137" s="20"/>
      <c r="P1137" s="20"/>
      <c r="Q1137" s="21"/>
      <c r="R1137" s="22" t="s">
        <v>16</v>
      </c>
      <c r="S1137" s="22" t="s">
        <v>16</v>
      </c>
      <c r="T1137" s="20"/>
      <c r="U1137" s="22">
        <f t="shared" si="105"/>
        <v>0</v>
      </c>
      <c r="V1137" s="20"/>
    </row>
    <row r="1138" spans="1:22" ht="14.4">
      <c r="A1138" s="391" t="s">
        <v>1603</v>
      </c>
      <c r="B1138" s="2" t="s">
        <v>78</v>
      </c>
      <c r="C1138" s="401">
        <v>300</v>
      </c>
      <c r="D1138" s="407">
        <v>198</v>
      </c>
      <c r="E1138" s="401">
        <v>81</v>
      </c>
      <c r="F1138" s="401">
        <v>62</v>
      </c>
      <c r="G1138" s="21">
        <f t="shared" si="101"/>
        <v>4.2470999999999997</v>
      </c>
      <c r="H1138" s="20">
        <f t="shared" si="102"/>
        <v>4.8109999999999999</v>
      </c>
      <c r="I1138" s="20">
        <f t="shared" si="103"/>
        <v>4.2469999999999999</v>
      </c>
      <c r="J1138" s="20">
        <f t="shared" si="104"/>
        <v>2.5950000000000002</v>
      </c>
      <c r="K1138" s="75"/>
      <c r="L1138" s="767"/>
      <c r="M1138" s="20"/>
      <c r="N1138" s="20"/>
      <c r="O1138" s="20"/>
      <c r="P1138" s="20"/>
      <c r="Q1138" s="21"/>
      <c r="R1138" s="22" t="s">
        <v>16</v>
      </c>
      <c r="S1138" s="22" t="s">
        <v>16</v>
      </c>
      <c r="T1138" s="20"/>
      <c r="U1138" s="22">
        <f t="shared" si="105"/>
        <v>0</v>
      </c>
      <c r="V1138" s="20"/>
    </row>
    <row r="1139" spans="1:22" ht="14.4">
      <c r="A1139" s="391" t="s">
        <v>1604</v>
      </c>
      <c r="B1139" s="2" t="s">
        <v>78</v>
      </c>
      <c r="C1139" s="401">
        <v>300</v>
      </c>
      <c r="D1139" s="407">
        <v>198</v>
      </c>
      <c r="E1139" s="401">
        <v>77</v>
      </c>
      <c r="F1139" s="401">
        <v>66</v>
      </c>
      <c r="G1139" s="21">
        <f t="shared" si="101"/>
        <v>4.2470999999999997</v>
      </c>
      <c r="H1139" s="20">
        <f t="shared" si="102"/>
        <v>4.5739999999999998</v>
      </c>
      <c r="I1139" s="20">
        <f t="shared" si="103"/>
        <v>4.2469999999999999</v>
      </c>
      <c r="J1139" s="20">
        <f t="shared" si="104"/>
        <v>2.7229999999999999</v>
      </c>
      <c r="K1139" s="75"/>
      <c r="L1139" s="767"/>
      <c r="M1139" s="20"/>
      <c r="N1139" s="20"/>
      <c r="O1139" s="20"/>
      <c r="P1139" s="20"/>
      <c r="Q1139" s="21"/>
      <c r="R1139" s="22" t="s">
        <v>16</v>
      </c>
      <c r="S1139" s="22" t="s">
        <v>16</v>
      </c>
      <c r="T1139" s="20"/>
      <c r="U1139" s="22">
        <f t="shared" si="105"/>
        <v>0</v>
      </c>
      <c r="V1139" s="20"/>
    </row>
    <row r="1140" spans="1:22" ht="15" thickBot="1">
      <c r="A1140" s="393" t="s">
        <v>1605</v>
      </c>
      <c r="B1140" s="2" t="s">
        <v>78</v>
      </c>
      <c r="C1140" s="402">
        <v>300</v>
      </c>
      <c r="D1140" s="411">
        <v>198</v>
      </c>
      <c r="E1140" s="402">
        <v>74.5</v>
      </c>
      <c r="F1140" s="402">
        <v>68.5</v>
      </c>
      <c r="G1140" s="21">
        <f t="shared" si="101"/>
        <v>4.2470999999999997</v>
      </c>
      <c r="H1140" s="20">
        <f t="shared" si="102"/>
        <v>4.4249999999999998</v>
      </c>
      <c r="I1140" s="20">
        <f t="shared" si="103"/>
        <v>4.2469999999999999</v>
      </c>
      <c r="J1140" s="20">
        <f t="shared" si="104"/>
        <v>2.8</v>
      </c>
      <c r="K1140" s="75"/>
      <c r="L1140" s="767"/>
      <c r="M1140" s="20"/>
      <c r="N1140" s="20"/>
      <c r="O1140" s="20"/>
      <c r="P1140" s="20"/>
      <c r="Q1140" s="21"/>
      <c r="R1140" s="22" t="s">
        <v>16</v>
      </c>
      <c r="S1140" s="22" t="s">
        <v>16</v>
      </c>
      <c r="T1140" s="20"/>
      <c r="U1140" s="22">
        <f t="shared" si="105"/>
        <v>0</v>
      </c>
      <c r="V1140" s="20"/>
    </row>
    <row r="1141" spans="1:22">
      <c r="A1141" s="76"/>
      <c r="B1141" s="2" t="s">
        <v>78</v>
      </c>
      <c r="G1141" s="21" t="str">
        <f t="shared" ref="G1141:G1164" si="106">IF(B1141="","",IF(OR(B1141="PA",B1141="PL"),H1141,IF(OR(B1141="VDZ",B1141="ISO",B1141="A1",B1141="A2",B1141="A3",B1141="AE",B1141="A2/3",B1141="A3/4",B1141="C1",B1141="C2",B1141="C3",B1141="CE",B1141="C2/3",B1141="C3/4"),I1141,J1141)))</f>
        <v>-</v>
      </c>
      <c r="H1141" s="20">
        <f t="shared" ref="H1141:H1174" si="107">ROUND(C1141*D1141*E1141/10^6,3)</f>
        <v>0</v>
      </c>
      <c r="I1141" s="20" t="str">
        <f t="shared" ref="I1141:I1174" si="108">IF(F1141="","-",ROUND((E1141+F1141)*C1141/2*D1141/10^6,3))</f>
        <v>-</v>
      </c>
      <c r="J1141" s="20" t="str">
        <f t="shared" ref="J1141:J1174" si="109">IF(F1141="","-",ROUND((D1141+E1141)*C1141/2*F1141/10^6,3))</f>
        <v>-</v>
      </c>
      <c r="K1141" s="75"/>
      <c r="L1141" s="767"/>
      <c r="M1141" s="20"/>
      <c r="N1141" s="20"/>
      <c r="O1141" s="20"/>
      <c r="P1141" s="20"/>
      <c r="Q1141" s="21"/>
      <c r="R1141" s="22" t="s">
        <v>16</v>
      </c>
      <c r="S1141" s="22" t="s">
        <v>16</v>
      </c>
      <c r="T1141" s="20"/>
      <c r="U1141" s="22">
        <f t="shared" si="105"/>
        <v>0</v>
      </c>
      <c r="V1141" s="20"/>
    </row>
    <row r="1142" spans="1:22" ht="14.4">
      <c r="A1142" s="385" t="s">
        <v>1606</v>
      </c>
      <c r="B1142" s="2" t="s">
        <v>78</v>
      </c>
      <c r="C1142" s="394">
        <v>180</v>
      </c>
      <c r="D1142" s="403">
        <v>300</v>
      </c>
      <c r="E1142" s="394">
        <v>78</v>
      </c>
      <c r="F1142" s="394">
        <v>65</v>
      </c>
      <c r="G1142" s="21">
        <f t="shared" si="101"/>
        <v>3.8610000000000002</v>
      </c>
      <c r="H1142" s="20">
        <f t="shared" si="107"/>
        <v>4.2119999999999997</v>
      </c>
      <c r="I1142" s="20">
        <f t="shared" si="108"/>
        <v>3.8610000000000002</v>
      </c>
      <c r="J1142" s="20">
        <f t="shared" si="109"/>
        <v>2.2109999999999999</v>
      </c>
      <c r="K1142" s="75"/>
      <c r="L1142" s="767"/>
      <c r="M1142" s="20"/>
      <c r="N1142" s="20"/>
      <c r="O1142" s="20"/>
      <c r="P1142" s="20"/>
      <c r="Q1142" s="21"/>
      <c r="R1142" s="22" t="s">
        <v>16</v>
      </c>
      <c r="S1142" s="22" t="s">
        <v>16</v>
      </c>
      <c r="T1142" s="20"/>
      <c r="U1142" s="22">
        <f t="shared" si="105"/>
        <v>0</v>
      </c>
      <c r="V1142" s="20"/>
    </row>
    <row r="1143" spans="1:22" ht="14.4">
      <c r="A1143" s="385" t="s">
        <v>1607</v>
      </c>
      <c r="B1143" s="2" t="s">
        <v>78</v>
      </c>
      <c r="C1143" s="394">
        <v>180</v>
      </c>
      <c r="D1143" s="403">
        <v>300</v>
      </c>
      <c r="E1143" s="394">
        <v>76.5</v>
      </c>
      <c r="F1143" s="394">
        <v>66.5</v>
      </c>
      <c r="G1143" s="21">
        <f t="shared" si="101"/>
        <v>3.8610000000000002</v>
      </c>
      <c r="H1143" s="20">
        <f t="shared" si="107"/>
        <v>4.1310000000000002</v>
      </c>
      <c r="I1143" s="20">
        <f t="shared" si="108"/>
        <v>3.8610000000000002</v>
      </c>
      <c r="J1143" s="20">
        <f t="shared" si="109"/>
        <v>2.2530000000000001</v>
      </c>
      <c r="K1143" s="75"/>
      <c r="L1143" s="767"/>
      <c r="M1143" s="20"/>
      <c r="N1143" s="20"/>
      <c r="O1143" s="20"/>
      <c r="P1143" s="20"/>
      <c r="Q1143" s="21"/>
      <c r="R1143" s="22" t="s">
        <v>16</v>
      </c>
      <c r="S1143" s="22" t="s">
        <v>16</v>
      </c>
      <c r="T1143" s="20"/>
      <c r="U1143" s="22">
        <f t="shared" si="105"/>
        <v>0</v>
      </c>
      <c r="V1143" s="20"/>
    </row>
    <row r="1144" spans="1:22" ht="14.4">
      <c r="A1144" s="385" t="s">
        <v>1608</v>
      </c>
      <c r="B1144" s="2" t="s">
        <v>78</v>
      </c>
      <c r="C1144" s="394">
        <v>180</v>
      </c>
      <c r="D1144" s="403">
        <v>300</v>
      </c>
      <c r="E1144" s="394">
        <v>75</v>
      </c>
      <c r="F1144" s="394">
        <v>68</v>
      </c>
      <c r="G1144" s="21">
        <f t="shared" si="101"/>
        <v>3.8610000000000002</v>
      </c>
      <c r="H1144" s="20">
        <f t="shared" si="107"/>
        <v>4.05</v>
      </c>
      <c r="I1144" s="20">
        <f t="shared" si="108"/>
        <v>3.8610000000000002</v>
      </c>
      <c r="J1144" s="20">
        <f t="shared" si="109"/>
        <v>2.2949999999999999</v>
      </c>
      <c r="K1144" s="75"/>
      <c r="L1144" s="767"/>
      <c r="M1144" s="20"/>
      <c r="N1144" s="20"/>
      <c r="O1144" s="20"/>
      <c r="P1144" s="20"/>
      <c r="Q1144" s="21"/>
      <c r="R1144" s="22" t="s">
        <v>16</v>
      </c>
      <c r="S1144" s="22" t="s">
        <v>16</v>
      </c>
      <c r="T1144" s="20"/>
      <c r="U1144" s="22">
        <f t="shared" si="105"/>
        <v>0</v>
      </c>
      <c r="V1144" s="20"/>
    </row>
    <row r="1145" spans="1:22" ht="14.4">
      <c r="A1145" s="385" t="s">
        <v>1609</v>
      </c>
      <c r="B1145" s="2" t="s">
        <v>78</v>
      </c>
      <c r="C1145" s="394">
        <v>180</v>
      </c>
      <c r="D1145" s="403">
        <v>300</v>
      </c>
      <c r="E1145" s="394">
        <v>74</v>
      </c>
      <c r="F1145" s="394">
        <v>69</v>
      </c>
      <c r="G1145" s="21">
        <f t="shared" si="101"/>
        <v>3.8610000000000002</v>
      </c>
      <c r="H1145" s="20">
        <f t="shared" si="107"/>
        <v>3.996</v>
      </c>
      <c r="I1145" s="20">
        <f t="shared" si="108"/>
        <v>3.8610000000000002</v>
      </c>
      <c r="J1145" s="20">
        <f t="shared" si="109"/>
        <v>2.323</v>
      </c>
      <c r="K1145" s="75"/>
      <c r="L1145" s="767"/>
      <c r="M1145" s="20"/>
      <c r="N1145" s="20"/>
      <c r="O1145" s="20"/>
      <c r="P1145" s="20"/>
      <c r="Q1145" s="21"/>
      <c r="R1145" s="22" t="s">
        <v>16</v>
      </c>
      <c r="S1145" s="22" t="s">
        <v>16</v>
      </c>
      <c r="T1145" s="20"/>
      <c r="U1145" s="22">
        <f t="shared" si="105"/>
        <v>0</v>
      </c>
      <c r="V1145" s="20"/>
    </row>
    <row r="1146" spans="1:22" ht="14.4">
      <c r="A1146" s="389" t="s">
        <v>1610</v>
      </c>
      <c r="B1146" s="2" t="s">
        <v>78</v>
      </c>
      <c r="C1146" s="395">
        <v>200</v>
      </c>
      <c r="D1146" s="405">
        <v>300</v>
      </c>
      <c r="E1146" s="395">
        <v>78</v>
      </c>
      <c r="F1146" s="395">
        <v>65</v>
      </c>
      <c r="G1146" s="21">
        <f t="shared" si="101"/>
        <v>4.29</v>
      </c>
      <c r="H1146" s="20">
        <f t="shared" si="107"/>
        <v>4.68</v>
      </c>
      <c r="I1146" s="20">
        <f t="shared" si="108"/>
        <v>4.29</v>
      </c>
      <c r="J1146" s="20">
        <f t="shared" si="109"/>
        <v>2.4569999999999999</v>
      </c>
      <c r="K1146" s="75"/>
      <c r="L1146" s="767"/>
      <c r="M1146" s="20"/>
      <c r="N1146" s="20"/>
      <c r="O1146" s="20"/>
      <c r="P1146" s="20"/>
      <c r="Q1146" s="21"/>
      <c r="R1146" s="22" t="s">
        <v>16</v>
      </c>
      <c r="S1146" s="22" t="s">
        <v>16</v>
      </c>
      <c r="T1146" s="20"/>
      <c r="U1146" s="22">
        <f t="shared" si="105"/>
        <v>0</v>
      </c>
      <c r="V1146" s="20"/>
    </row>
    <row r="1147" spans="1:22" ht="14.4">
      <c r="A1147" s="389" t="s">
        <v>1611</v>
      </c>
      <c r="B1147" s="2" t="s">
        <v>78</v>
      </c>
      <c r="C1147" s="395">
        <v>200</v>
      </c>
      <c r="D1147" s="405">
        <v>300</v>
      </c>
      <c r="E1147" s="395">
        <v>76.5</v>
      </c>
      <c r="F1147" s="395">
        <v>66.5</v>
      </c>
      <c r="G1147" s="21">
        <f t="shared" si="101"/>
        <v>4.29</v>
      </c>
      <c r="H1147" s="20">
        <f t="shared" si="107"/>
        <v>4.59</v>
      </c>
      <c r="I1147" s="20">
        <f t="shared" si="108"/>
        <v>4.29</v>
      </c>
      <c r="J1147" s="20">
        <f t="shared" si="109"/>
        <v>2.504</v>
      </c>
      <c r="K1147" s="75"/>
      <c r="L1147" s="767"/>
      <c r="M1147" s="20"/>
      <c r="N1147" s="20"/>
      <c r="O1147" s="20"/>
      <c r="P1147" s="20"/>
      <c r="Q1147" s="21"/>
      <c r="R1147" s="22" t="s">
        <v>16</v>
      </c>
      <c r="S1147" s="22" t="s">
        <v>16</v>
      </c>
      <c r="T1147" s="20"/>
      <c r="U1147" s="22">
        <f t="shared" si="105"/>
        <v>0</v>
      </c>
      <c r="V1147" s="20"/>
    </row>
    <row r="1148" spans="1:22" ht="14.4">
      <c r="A1148" s="389" t="s">
        <v>1612</v>
      </c>
      <c r="B1148" s="2" t="s">
        <v>78</v>
      </c>
      <c r="C1148" s="395">
        <v>200</v>
      </c>
      <c r="D1148" s="405">
        <v>300</v>
      </c>
      <c r="E1148" s="395">
        <v>75</v>
      </c>
      <c r="F1148" s="395">
        <v>68</v>
      </c>
      <c r="G1148" s="21">
        <f t="shared" si="101"/>
        <v>4.29</v>
      </c>
      <c r="H1148" s="20">
        <f t="shared" si="107"/>
        <v>4.5</v>
      </c>
      <c r="I1148" s="20">
        <f t="shared" si="108"/>
        <v>4.29</v>
      </c>
      <c r="J1148" s="20">
        <f t="shared" si="109"/>
        <v>2.5499999999999998</v>
      </c>
      <c r="K1148" s="75"/>
      <c r="L1148" s="767"/>
      <c r="M1148" s="20"/>
      <c r="N1148" s="20"/>
      <c r="O1148" s="20"/>
      <c r="P1148" s="20"/>
      <c r="Q1148" s="21"/>
      <c r="R1148" s="22" t="s">
        <v>16</v>
      </c>
      <c r="S1148" s="22" t="s">
        <v>16</v>
      </c>
      <c r="T1148" s="20"/>
      <c r="U1148" s="22">
        <f t="shared" si="105"/>
        <v>0</v>
      </c>
      <c r="V1148" s="20"/>
    </row>
    <row r="1149" spans="1:22" ht="14.4">
      <c r="A1149" s="389" t="s">
        <v>1613</v>
      </c>
      <c r="B1149" s="2" t="s">
        <v>78</v>
      </c>
      <c r="C1149" s="395">
        <v>200</v>
      </c>
      <c r="D1149" s="405">
        <v>300</v>
      </c>
      <c r="E1149" s="395">
        <v>74.5</v>
      </c>
      <c r="F1149" s="395">
        <v>68.5</v>
      </c>
      <c r="G1149" s="21">
        <f t="shared" si="101"/>
        <v>4.29</v>
      </c>
      <c r="H1149" s="20">
        <f t="shared" si="107"/>
        <v>4.47</v>
      </c>
      <c r="I1149" s="20">
        <f t="shared" si="108"/>
        <v>4.29</v>
      </c>
      <c r="J1149" s="20">
        <f t="shared" si="109"/>
        <v>2.5649999999999999</v>
      </c>
      <c r="K1149" s="75"/>
      <c r="L1149" s="767"/>
      <c r="M1149" s="20"/>
      <c r="N1149" s="20"/>
      <c r="O1149" s="20"/>
      <c r="P1149" s="20"/>
      <c r="Q1149" s="21"/>
      <c r="R1149" s="22" t="s">
        <v>16</v>
      </c>
      <c r="S1149" s="22" t="s">
        <v>16</v>
      </c>
      <c r="T1149" s="20"/>
      <c r="U1149" s="22">
        <f t="shared" si="105"/>
        <v>0</v>
      </c>
      <c r="V1149" s="20"/>
    </row>
    <row r="1150" spans="1:22" ht="14.4">
      <c r="A1150" s="389" t="s">
        <v>1614</v>
      </c>
      <c r="B1150" s="2" t="s">
        <v>78</v>
      </c>
      <c r="C1150" s="395">
        <v>200</v>
      </c>
      <c r="D1150" s="405">
        <v>300</v>
      </c>
      <c r="E1150" s="395">
        <v>74</v>
      </c>
      <c r="F1150" s="395">
        <v>69</v>
      </c>
      <c r="G1150" s="21">
        <f t="shared" si="101"/>
        <v>4.29</v>
      </c>
      <c r="H1150" s="20">
        <f t="shared" si="107"/>
        <v>4.4400000000000004</v>
      </c>
      <c r="I1150" s="20">
        <f t="shared" si="108"/>
        <v>4.29</v>
      </c>
      <c r="J1150" s="20">
        <f t="shared" si="109"/>
        <v>2.581</v>
      </c>
      <c r="K1150" s="75"/>
      <c r="L1150" s="767"/>
      <c r="M1150" s="20"/>
      <c r="N1150" s="20"/>
      <c r="O1150" s="20"/>
      <c r="P1150" s="20"/>
      <c r="Q1150" s="21"/>
      <c r="R1150" s="22" t="s">
        <v>16</v>
      </c>
      <c r="S1150" s="22" t="s">
        <v>16</v>
      </c>
      <c r="T1150" s="20"/>
      <c r="U1150" s="22">
        <f t="shared" si="105"/>
        <v>0</v>
      </c>
      <c r="V1150" s="20"/>
    </row>
    <row r="1151" spans="1:22" ht="14.4">
      <c r="A1151" s="389" t="s">
        <v>1615</v>
      </c>
      <c r="B1151" s="2" t="s">
        <v>78</v>
      </c>
      <c r="C1151" s="395">
        <v>200</v>
      </c>
      <c r="D1151" s="405">
        <v>300</v>
      </c>
      <c r="E1151" s="395">
        <v>73.5</v>
      </c>
      <c r="F1151" s="395">
        <v>69.5</v>
      </c>
      <c r="G1151" s="21">
        <f t="shared" si="101"/>
        <v>4.29</v>
      </c>
      <c r="H1151" s="20">
        <f t="shared" si="107"/>
        <v>4.41</v>
      </c>
      <c r="I1151" s="20">
        <f t="shared" si="108"/>
        <v>4.29</v>
      </c>
      <c r="J1151" s="20">
        <f t="shared" si="109"/>
        <v>2.5960000000000001</v>
      </c>
      <c r="K1151" s="75"/>
      <c r="L1151" s="767"/>
      <c r="M1151" s="20"/>
      <c r="N1151" s="20"/>
      <c r="O1151" s="20"/>
      <c r="P1151" s="20"/>
      <c r="Q1151" s="21"/>
      <c r="R1151" s="22" t="s">
        <v>16</v>
      </c>
      <c r="S1151" s="22" t="s">
        <v>16</v>
      </c>
      <c r="T1151" s="20"/>
      <c r="U1151" s="22">
        <f t="shared" si="105"/>
        <v>0</v>
      </c>
      <c r="V1151" s="20"/>
    </row>
    <row r="1152" spans="1:22" ht="14.4">
      <c r="A1152" s="388" t="s">
        <v>1616</v>
      </c>
      <c r="B1152" s="2" t="s">
        <v>78</v>
      </c>
      <c r="C1152" s="399">
        <v>220</v>
      </c>
      <c r="D1152" s="406">
        <v>300</v>
      </c>
      <c r="E1152" s="399">
        <v>78</v>
      </c>
      <c r="F1152" s="399">
        <v>65</v>
      </c>
      <c r="G1152" s="21">
        <f t="shared" si="101"/>
        <v>4.7190000000000003</v>
      </c>
      <c r="H1152" s="20">
        <f t="shared" si="107"/>
        <v>5.1479999999999997</v>
      </c>
      <c r="I1152" s="20">
        <f t="shared" si="108"/>
        <v>4.7190000000000003</v>
      </c>
      <c r="J1152" s="20">
        <f t="shared" si="109"/>
        <v>2.7029999999999998</v>
      </c>
      <c r="K1152" s="75"/>
      <c r="L1152" s="767"/>
      <c r="M1152" s="20"/>
      <c r="N1152" s="20"/>
      <c r="O1152" s="20"/>
      <c r="P1152" s="20"/>
      <c r="Q1152" s="21"/>
      <c r="R1152" s="22" t="s">
        <v>16</v>
      </c>
      <c r="S1152" s="22" t="s">
        <v>16</v>
      </c>
      <c r="T1152" s="20"/>
      <c r="U1152" s="22">
        <f t="shared" si="105"/>
        <v>0</v>
      </c>
      <c r="V1152" s="20"/>
    </row>
    <row r="1153" spans="1:22" ht="14.4">
      <c r="A1153" s="388" t="s">
        <v>1617</v>
      </c>
      <c r="B1153" s="2" t="s">
        <v>78</v>
      </c>
      <c r="C1153" s="399">
        <v>220</v>
      </c>
      <c r="D1153" s="406">
        <v>300</v>
      </c>
      <c r="E1153" s="399">
        <v>76.5</v>
      </c>
      <c r="F1153" s="399">
        <v>66.5</v>
      </c>
      <c r="G1153" s="21">
        <f t="shared" si="101"/>
        <v>4.7190000000000003</v>
      </c>
      <c r="H1153" s="20">
        <f t="shared" si="107"/>
        <v>5.0490000000000004</v>
      </c>
      <c r="I1153" s="20">
        <f t="shared" si="108"/>
        <v>4.7190000000000003</v>
      </c>
      <c r="J1153" s="20">
        <f t="shared" si="109"/>
        <v>2.754</v>
      </c>
      <c r="K1153" s="75"/>
      <c r="L1153" s="767"/>
      <c r="M1153" s="20"/>
      <c r="N1153" s="20"/>
      <c r="O1153" s="20"/>
      <c r="P1153" s="20"/>
      <c r="Q1153" s="21"/>
      <c r="R1153" s="22" t="s">
        <v>16</v>
      </c>
      <c r="S1153" s="22" t="s">
        <v>16</v>
      </c>
      <c r="T1153" s="20"/>
      <c r="U1153" s="22">
        <f t="shared" si="105"/>
        <v>0</v>
      </c>
      <c r="V1153" s="20"/>
    </row>
    <row r="1154" spans="1:22" ht="14.4">
      <c r="A1154" s="388" t="s">
        <v>1618</v>
      </c>
      <c r="B1154" s="2" t="s">
        <v>78</v>
      </c>
      <c r="C1154" s="399">
        <v>220</v>
      </c>
      <c r="D1154" s="406">
        <v>300</v>
      </c>
      <c r="E1154" s="399">
        <v>75</v>
      </c>
      <c r="F1154" s="399">
        <v>68</v>
      </c>
      <c r="G1154" s="21">
        <f t="shared" si="101"/>
        <v>4.7190000000000003</v>
      </c>
      <c r="H1154" s="20">
        <f t="shared" si="107"/>
        <v>4.95</v>
      </c>
      <c r="I1154" s="20">
        <f t="shared" si="108"/>
        <v>4.7190000000000003</v>
      </c>
      <c r="J1154" s="20">
        <f t="shared" si="109"/>
        <v>2.8050000000000002</v>
      </c>
      <c r="K1154" s="75"/>
      <c r="L1154" s="767"/>
      <c r="M1154" s="20"/>
      <c r="N1154" s="20"/>
      <c r="O1154" s="20"/>
      <c r="P1154" s="20"/>
      <c r="Q1154" s="21"/>
      <c r="R1154" s="22" t="s">
        <v>16</v>
      </c>
      <c r="S1154" s="22" t="s">
        <v>16</v>
      </c>
      <c r="T1154" s="20"/>
      <c r="U1154" s="22">
        <f t="shared" si="105"/>
        <v>0</v>
      </c>
      <c r="V1154" s="20"/>
    </row>
    <row r="1155" spans="1:22" ht="14.4">
      <c r="A1155" s="388" t="s">
        <v>1619</v>
      </c>
      <c r="B1155" s="2" t="s">
        <v>78</v>
      </c>
      <c r="C1155" s="399">
        <v>220</v>
      </c>
      <c r="D1155" s="406">
        <v>300</v>
      </c>
      <c r="E1155" s="399">
        <v>74.5</v>
      </c>
      <c r="F1155" s="399">
        <v>68.5</v>
      </c>
      <c r="G1155" s="21">
        <f t="shared" si="101"/>
        <v>4.7190000000000003</v>
      </c>
      <c r="H1155" s="20">
        <f t="shared" si="107"/>
        <v>4.9169999999999998</v>
      </c>
      <c r="I1155" s="20">
        <f t="shared" si="108"/>
        <v>4.7190000000000003</v>
      </c>
      <c r="J1155" s="20">
        <f t="shared" si="109"/>
        <v>2.8220000000000001</v>
      </c>
      <c r="K1155" s="75"/>
      <c r="L1155" s="767"/>
      <c r="M1155" s="20"/>
      <c r="N1155" s="20"/>
      <c r="O1155" s="20"/>
      <c r="P1155" s="20"/>
      <c r="Q1155" s="21"/>
      <c r="R1155" s="22" t="s">
        <v>16</v>
      </c>
      <c r="S1155" s="22" t="s">
        <v>16</v>
      </c>
      <c r="T1155" s="20"/>
      <c r="U1155" s="22">
        <f t="shared" si="105"/>
        <v>0</v>
      </c>
      <c r="V1155" s="20"/>
    </row>
    <row r="1156" spans="1:22" ht="14.4">
      <c r="A1156" s="388" t="s">
        <v>1620</v>
      </c>
      <c r="B1156" s="2" t="s">
        <v>78</v>
      </c>
      <c r="C1156" s="399">
        <v>220</v>
      </c>
      <c r="D1156" s="406">
        <v>300</v>
      </c>
      <c r="E1156" s="399">
        <v>74</v>
      </c>
      <c r="F1156" s="399">
        <v>69</v>
      </c>
      <c r="G1156" s="21">
        <f t="shared" si="101"/>
        <v>4.7190000000000003</v>
      </c>
      <c r="H1156" s="20">
        <f t="shared" si="107"/>
        <v>4.8840000000000003</v>
      </c>
      <c r="I1156" s="20">
        <f t="shared" si="108"/>
        <v>4.7190000000000003</v>
      </c>
      <c r="J1156" s="20">
        <f t="shared" si="109"/>
        <v>2.839</v>
      </c>
      <c r="K1156" s="75"/>
      <c r="L1156" s="767"/>
      <c r="M1156" s="20"/>
      <c r="N1156" s="20"/>
      <c r="O1156" s="20"/>
      <c r="P1156" s="20"/>
      <c r="Q1156" s="21"/>
      <c r="R1156" s="22" t="s">
        <v>16</v>
      </c>
      <c r="S1156" s="22" t="s">
        <v>16</v>
      </c>
      <c r="T1156" s="20"/>
      <c r="U1156" s="22">
        <f t="shared" si="105"/>
        <v>0</v>
      </c>
      <c r="V1156" s="20"/>
    </row>
    <row r="1157" spans="1:22" ht="14.4">
      <c r="A1157" s="388" t="s">
        <v>1621</v>
      </c>
      <c r="B1157" s="2" t="s">
        <v>78</v>
      </c>
      <c r="C1157" s="399">
        <v>220</v>
      </c>
      <c r="D1157" s="406">
        <v>300</v>
      </c>
      <c r="E1157" s="399">
        <v>73.5</v>
      </c>
      <c r="F1157" s="399">
        <v>69.5</v>
      </c>
      <c r="G1157" s="21">
        <f t="shared" si="101"/>
        <v>4.7190000000000003</v>
      </c>
      <c r="H1157" s="20">
        <f t="shared" si="107"/>
        <v>4.851</v>
      </c>
      <c r="I1157" s="20">
        <f t="shared" si="108"/>
        <v>4.7190000000000003</v>
      </c>
      <c r="J1157" s="20">
        <f t="shared" si="109"/>
        <v>2.855</v>
      </c>
      <c r="K1157" s="75"/>
      <c r="L1157" s="767"/>
      <c r="M1157" s="20"/>
      <c r="N1157" s="20"/>
      <c r="O1157" s="20"/>
      <c r="P1157" s="20"/>
      <c r="Q1157" s="21"/>
      <c r="R1157" s="22" t="s">
        <v>16</v>
      </c>
      <c r="S1157" s="22" t="s">
        <v>16</v>
      </c>
      <c r="T1157" s="20"/>
      <c r="U1157" s="22">
        <f t="shared" si="105"/>
        <v>0</v>
      </c>
      <c r="V1157" s="20"/>
    </row>
    <row r="1158" spans="1:22" ht="14.4">
      <c r="A1158" s="390" t="s">
        <v>1622</v>
      </c>
      <c r="B1158" s="2" t="s">
        <v>78</v>
      </c>
      <c r="C1158" s="400">
        <v>250</v>
      </c>
      <c r="D1158" s="408">
        <v>300</v>
      </c>
      <c r="E1158" s="400">
        <v>82</v>
      </c>
      <c r="F1158" s="400">
        <v>61</v>
      </c>
      <c r="G1158" s="21">
        <f t="shared" si="101"/>
        <v>5.3624999999999998</v>
      </c>
      <c r="H1158" s="20">
        <f t="shared" si="107"/>
        <v>6.15</v>
      </c>
      <c r="I1158" s="20">
        <f t="shared" si="108"/>
        <v>5.3630000000000004</v>
      </c>
      <c r="J1158" s="20">
        <f t="shared" si="109"/>
        <v>2.9129999999999998</v>
      </c>
      <c r="K1158" s="75"/>
      <c r="L1158" s="767"/>
      <c r="M1158" s="20"/>
      <c r="N1158" s="20"/>
      <c r="O1158" s="20"/>
      <c r="P1158" s="20"/>
      <c r="Q1158" s="21"/>
      <c r="R1158" s="22" t="s">
        <v>16</v>
      </c>
      <c r="S1158" s="22" t="s">
        <v>16</v>
      </c>
      <c r="T1158" s="20"/>
      <c r="U1158" s="22">
        <f t="shared" si="105"/>
        <v>0</v>
      </c>
      <c r="V1158" s="20"/>
    </row>
    <row r="1159" spans="1:22" ht="14.4">
      <c r="A1159" s="390" t="s">
        <v>1623</v>
      </c>
      <c r="B1159" s="2" t="s">
        <v>78</v>
      </c>
      <c r="C1159" s="400">
        <v>250</v>
      </c>
      <c r="D1159" s="408">
        <v>300</v>
      </c>
      <c r="E1159" s="400">
        <v>78</v>
      </c>
      <c r="F1159" s="400">
        <v>65</v>
      </c>
      <c r="G1159" s="21">
        <f t="shared" si="101"/>
        <v>5.3624999999999998</v>
      </c>
      <c r="H1159" s="20">
        <f t="shared" si="107"/>
        <v>5.85</v>
      </c>
      <c r="I1159" s="20">
        <f t="shared" si="108"/>
        <v>5.3630000000000004</v>
      </c>
      <c r="J1159" s="20">
        <f t="shared" si="109"/>
        <v>3.0710000000000002</v>
      </c>
      <c r="K1159" s="75"/>
      <c r="L1159" s="767"/>
      <c r="M1159" s="20"/>
      <c r="N1159" s="20"/>
      <c r="O1159" s="20"/>
      <c r="P1159" s="20"/>
      <c r="Q1159" s="21"/>
      <c r="R1159" s="22" t="s">
        <v>16</v>
      </c>
      <c r="S1159" s="22" t="s">
        <v>16</v>
      </c>
      <c r="T1159" s="20"/>
      <c r="U1159" s="22">
        <f t="shared" si="105"/>
        <v>0</v>
      </c>
      <c r="V1159" s="20"/>
    </row>
    <row r="1160" spans="1:22" ht="14.4">
      <c r="A1160" s="390" t="s">
        <v>1624</v>
      </c>
      <c r="B1160" s="2" t="s">
        <v>78</v>
      </c>
      <c r="C1160" s="400">
        <v>250</v>
      </c>
      <c r="D1160" s="408">
        <v>300</v>
      </c>
      <c r="E1160" s="400">
        <v>76.5</v>
      </c>
      <c r="F1160" s="400">
        <v>66.5</v>
      </c>
      <c r="G1160" s="21">
        <f t="shared" si="101"/>
        <v>5.3624999999999998</v>
      </c>
      <c r="H1160" s="20">
        <f t="shared" si="107"/>
        <v>5.7380000000000004</v>
      </c>
      <c r="I1160" s="20">
        <f t="shared" si="108"/>
        <v>5.3630000000000004</v>
      </c>
      <c r="J1160" s="20">
        <f t="shared" si="109"/>
        <v>3.13</v>
      </c>
      <c r="K1160" s="75"/>
      <c r="L1160" s="767"/>
      <c r="M1160" s="20"/>
      <c r="N1160" s="20"/>
      <c r="O1160" s="20"/>
      <c r="P1160" s="20"/>
      <c r="Q1160" s="21"/>
      <c r="R1160" s="22" t="s">
        <v>16</v>
      </c>
      <c r="S1160" s="22" t="s">
        <v>16</v>
      </c>
      <c r="T1160" s="20"/>
      <c r="U1160" s="22">
        <f t="shared" si="105"/>
        <v>0</v>
      </c>
      <c r="V1160" s="20"/>
    </row>
    <row r="1161" spans="1:22" ht="14.4">
      <c r="A1161" s="390" t="s">
        <v>1625</v>
      </c>
      <c r="B1161" s="2" t="s">
        <v>78</v>
      </c>
      <c r="C1161" s="400">
        <v>250</v>
      </c>
      <c r="D1161" s="408">
        <v>300</v>
      </c>
      <c r="E1161" s="400">
        <v>74.5</v>
      </c>
      <c r="F1161" s="400">
        <v>68.5</v>
      </c>
      <c r="G1161" s="21">
        <f t="shared" si="101"/>
        <v>5.3624999999999998</v>
      </c>
      <c r="H1161" s="20">
        <f t="shared" si="107"/>
        <v>5.5880000000000001</v>
      </c>
      <c r="I1161" s="20">
        <f t="shared" si="108"/>
        <v>5.3630000000000004</v>
      </c>
      <c r="J1161" s="20">
        <f t="shared" si="109"/>
        <v>3.2069999999999999</v>
      </c>
      <c r="K1161" s="75"/>
      <c r="L1161" s="767"/>
      <c r="M1161" s="20"/>
      <c r="N1161" s="20"/>
      <c r="O1161" s="20"/>
      <c r="P1161" s="20"/>
      <c r="Q1161" s="21"/>
      <c r="R1161" s="22" t="s">
        <v>16</v>
      </c>
      <c r="S1161" s="22" t="s">
        <v>16</v>
      </c>
      <c r="T1161" s="20"/>
      <c r="U1161" s="22">
        <f t="shared" si="105"/>
        <v>0</v>
      </c>
      <c r="V1161" s="20"/>
    </row>
    <row r="1162" spans="1:22" ht="14.4">
      <c r="A1162" s="390" t="s">
        <v>1626</v>
      </c>
      <c r="B1162" s="2" t="s">
        <v>78</v>
      </c>
      <c r="C1162" s="400">
        <v>250</v>
      </c>
      <c r="D1162" s="408">
        <v>300</v>
      </c>
      <c r="E1162" s="400">
        <v>74</v>
      </c>
      <c r="F1162" s="400">
        <v>69</v>
      </c>
      <c r="G1162" s="21">
        <f t="shared" si="101"/>
        <v>5.3624999999999998</v>
      </c>
      <c r="H1162" s="20">
        <f t="shared" si="107"/>
        <v>5.55</v>
      </c>
      <c r="I1162" s="20">
        <f t="shared" si="108"/>
        <v>5.3630000000000004</v>
      </c>
      <c r="J1162" s="20">
        <f t="shared" si="109"/>
        <v>3.226</v>
      </c>
      <c r="K1162" s="75"/>
      <c r="L1162" s="767"/>
      <c r="M1162" s="20"/>
      <c r="N1162" s="20"/>
      <c r="O1162" s="20"/>
      <c r="P1162" s="20"/>
      <c r="Q1162" s="21"/>
      <c r="R1162" s="22" t="s">
        <v>16</v>
      </c>
      <c r="S1162" s="22" t="s">
        <v>16</v>
      </c>
      <c r="T1162" s="20"/>
      <c r="U1162" s="22">
        <f t="shared" si="105"/>
        <v>0</v>
      </c>
      <c r="V1162" s="20"/>
    </row>
    <row r="1163" spans="1:22" ht="14.4">
      <c r="A1163" s="390" t="s">
        <v>1627</v>
      </c>
      <c r="B1163" s="2" t="s">
        <v>78</v>
      </c>
      <c r="C1163" s="400">
        <v>250</v>
      </c>
      <c r="D1163" s="408">
        <v>300</v>
      </c>
      <c r="E1163" s="400">
        <v>73.5</v>
      </c>
      <c r="F1163" s="400">
        <v>69.5</v>
      </c>
      <c r="G1163" s="21">
        <f t="shared" si="101"/>
        <v>5.3624999999999998</v>
      </c>
      <c r="H1163" s="20">
        <f t="shared" si="107"/>
        <v>5.5129999999999999</v>
      </c>
      <c r="I1163" s="20">
        <f t="shared" si="108"/>
        <v>5.3630000000000004</v>
      </c>
      <c r="J1163" s="20">
        <f t="shared" si="109"/>
        <v>3.2450000000000001</v>
      </c>
      <c r="K1163" s="75"/>
      <c r="L1163" s="767"/>
      <c r="M1163" s="20"/>
      <c r="N1163" s="20"/>
      <c r="O1163" s="20"/>
      <c r="P1163" s="20"/>
      <c r="Q1163" s="21"/>
      <c r="R1163" s="22" t="s">
        <v>16</v>
      </c>
      <c r="S1163" s="22" t="s">
        <v>16</v>
      </c>
      <c r="T1163" s="20"/>
      <c r="U1163" s="22">
        <f t="shared" si="105"/>
        <v>0</v>
      </c>
      <c r="V1163" s="20"/>
    </row>
    <row r="1164" spans="1:22">
      <c r="A1164" s="76"/>
      <c r="B1164" s="2" t="s">
        <v>78</v>
      </c>
      <c r="G1164" s="21" t="str">
        <f t="shared" si="106"/>
        <v>-</v>
      </c>
      <c r="H1164" s="20">
        <f t="shared" si="107"/>
        <v>0</v>
      </c>
      <c r="I1164" s="20" t="str">
        <f t="shared" si="108"/>
        <v>-</v>
      </c>
      <c r="J1164" s="20" t="str">
        <f t="shared" si="109"/>
        <v>-</v>
      </c>
      <c r="K1164" s="75"/>
      <c r="L1164" s="767"/>
      <c r="M1164" s="20"/>
      <c r="N1164" s="20"/>
      <c r="O1164" s="20"/>
      <c r="P1164" s="20"/>
      <c r="Q1164" s="21"/>
      <c r="R1164" s="22" t="s">
        <v>16</v>
      </c>
      <c r="S1164" s="22" t="s">
        <v>16</v>
      </c>
      <c r="T1164" s="20"/>
      <c r="U1164" s="22">
        <f t="shared" si="105"/>
        <v>0</v>
      </c>
      <c r="V1164" s="20"/>
    </row>
    <row r="1165" spans="1:22" ht="14.4">
      <c r="A1165" s="389" t="s">
        <v>1628</v>
      </c>
      <c r="B1165" s="2" t="s">
        <v>78</v>
      </c>
      <c r="C1165" s="395">
        <v>200</v>
      </c>
      <c r="D1165" s="405">
        <v>250</v>
      </c>
      <c r="E1165" s="395">
        <v>78</v>
      </c>
      <c r="F1165" s="395">
        <v>65</v>
      </c>
      <c r="G1165" s="21">
        <f t="shared" si="101"/>
        <v>3.5750000000000002</v>
      </c>
      <c r="H1165" s="20">
        <f t="shared" si="107"/>
        <v>3.9</v>
      </c>
      <c r="I1165" s="20">
        <f t="shared" si="108"/>
        <v>3.5750000000000002</v>
      </c>
      <c r="J1165" s="20">
        <f t="shared" si="109"/>
        <v>2.1320000000000001</v>
      </c>
      <c r="K1165" s="75"/>
      <c r="L1165" s="767"/>
      <c r="M1165" s="20"/>
      <c r="N1165" s="20"/>
      <c r="O1165" s="20"/>
      <c r="P1165" s="20"/>
      <c r="Q1165" s="21"/>
      <c r="R1165" s="22" t="s">
        <v>16</v>
      </c>
      <c r="S1165" s="22" t="s">
        <v>16</v>
      </c>
      <c r="T1165" s="20"/>
      <c r="U1165" s="22">
        <f t="shared" si="105"/>
        <v>0</v>
      </c>
      <c r="V1165" s="20"/>
    </row>
    <row r="1166" spans="1:22" ht="14.4">
      <c r="A1166" s="389" t="s">
        <v>1629</v>
      </c>
      <c r="B1166" s="2" t="s">
        <v>78</v>
      </c>
      <c r="C1166" s="395">
        <v>200</v>
      </c>
      <c r="D1166" s="405">
        <v>250</v>
      </c>
      <c r="E1166" s="395">
        <v>76.5</v>
      </c>
      <c r="F1166" s="395">
        <v>66.5</v>
      </c>
      <c r="G1166" s="21">
        <f t="shared" si="101"/>
        <v>3.5750000000000002</v>
      </c>
      <c r="H1166" s="20">
        <f t="shared" si="107"/>
        <v>3.8250000000000002</v>
      </c>
      <c r="I1166" s="20">
        <f t="shared" si="108"/>
        <v>3.5750000000000002</v>
      </c>
      <c r="J1166" s="20">
        <f t="shared" si="109"/>
        <v>2.1709999999999998</v>
      </c>
      <c r="K1166" s="75"/>
      <c r="L1166" s="767"/>
      <c r="M1166" s="20"/>
      <c r="N1166" s="20"/>
      <c r="O1166" s="20"/>
      <c r="P1166" s="20"/>
      <c r="Q1166" s="21"/>
      <c r="R1166" s="22" t="s">
        <v>16</v>
      </c>
      <c r="S1166" s="22" t="s">
        <v>16</v>
      </c>
      <c r="T1166" s="20"/>
      <c r="U1166" s="22">
        <f t="shared" si="105"/>
        <v>0</v>
      </c>
      <c r="V1166" s="20"/>
    </row>
    <row r="1167" spans="1:22" ht="14.4">
      <c r="A1167" s="389" t="s">
        <v>1630</v>
      </c>
      <c r="B1167" s="2" t="s">
        <v>78</v>
      </c>
      <c r="C1167" s="395">
        <v>200</v>
      </c>
      <c r="D1167" s="405">
        <v>250</v>
      </c>
      <c r="E1167" s="395">
        <v>75</v>
      </c>
      <c r="F1167" s="395">
        <v>68</v>
      </c>
      <c r="G1167" s="21">
        <f t="shared" si="101"/>
        <v>3.5750000000000002</v>
      </c>
      <c r="H1167" s="20">
        <f t="shared" si="107"/>
        <v>3.75</v>
      </c>
      <c r="I1167" s="20">
        <f t="shared" si="108"/>
        <v>3.5750000000000002</v>
      </c>
      <c r="J1167" s="20">
        <f t="shared" si="109"/>
        <v>2.21</v>
      </c>
      <c r="K1167" s="75"/>
      <c r="L1167" s="767"/>
      <c r="M1167" s="20"/>
      <c r="N1167" s="20"/>
      <c r="O1167" s="20"/>
      <c r="P1167" s="20"/>
      <c r="Q1167" s="21"/>
      <c r="R1167" s="22" t="s">
        <v>16</v>
      </c>
      <c r="S1167" s="22" t="s">
        <v>16</v>
      </c>
      <c r="T1167" s="20"/>
      <c r="U1167" s="22">
        <f t="shared" si="105"/>
        <v>0</v>
      </c>
      <c r="V1167" s="20"/>
    </row>
    <row r="1168" spans="1:22" ht="14.4">
      <c r="A1168" s="389" t="s">
        <v>1631</v>
      </c>
      <c r="B1168" s="2" t="s">
        <v>78</v>
      </c>
      <c r="C1168" s="395">
        <v>200</v>
      </c>
      <c r="D1168" s="405">
        <v>250</v>
      </c>
      <c r="E1168" s="395">
        <v>74</v>
      </c>
      <c r="F1168" s="395">
        <v>69</v>
      </c>
      <c r="G1168" s="21">
        <f t="shared" si="101"/>
        <v>3.5750000000000002</v>
      </c>
      <c r="H1168" s="20">
        <f t="shared" si="107"/>
        <v>3.7</v>
      </c>
      <c r="I1168" s="20">
        <f t="shared" si="108"/>
        <v>3.5750000000000002</v>
      </c>
      <c r="J1168" s="20">
        <f t="shared" si="109"/>
        <v>2.2360000000000002</v>
      </c>
      <c r="K1168" s="75"/>
      <c r="L1168" s="767"/>
      <c r="M1168" s="20"/>
      <c r="N1168" s="20"/>
      <c r="O1168" s="20"/>
      <c r="P1168" s="20"/>
      <c r="Q1168" s="21"/>
      <c r="R1168" s="22" t="s">
        <v>16</v>
      </c>
      <c r="S1168" s="22" t="s">
        <v>16</v>
      </c>
      <c r="T1168" s="20"/>
      <c r="U1168" s="22">
        <f t="shared" si="105"/>
        <v>0</v>
      </c>
      <c r="V1168" s="20"/>
    </row>
    <row r="1169" spans="1:22" ht="14.4">
      <c r="A1169" s="388" t="s">
        <v>1632</v>
      </c>
      <c r="B1169" s="2" t="s">
        <v>78</v>
      </c>
      <c r="C1169" s="399">
        <v>220</v>
      </c>
      <c r="D1169" s="406">
        <v>250</v>
      </c>
      <c r="E1169" s="399">
        <v>78</v>
      </c>
      <c r="F1169" s="399">
        <v>65</v>
      </c>
      <c r="G1169" s="21">
        <f t="shared" si="101"/>
        <v>3.9325000000000001</v>
      </c>
      <c r="H1169" s="20">
        <f t="shared" si="107"/>
        <v>4.29</v>
      </c>
      <c r="I1169" s="20">
        <f t="shared" si="108"/>
        <v>3.9329999999999998</v>
      </c>
      <c r="J1169" s="20">
        <f t="shared" si="109"/>
        <v>2.3450000000000002</v>
      </c>
      <c r="K1169" s="75"/>
      <c r="L1169" s="767"/>
      <c r="M1169" s="20"/>
      <c r="N1169" s="20"/>
      <c r="O1169" s="20"/>
      <c r="P1169" s="20"/>
      <c r="Q1169" s="21"/>
      <c r="R1169" s="22" t="s">
        <v>16</v>
      </c>
      <c r="S1169" s="22" t="s">
        <v>16</v>
      </c>
      <c r="T1169" s="20"/>
      <c r="U1169" s="22">
        <f t="shared" si="105"/>
        <v>0</v>
      </c>
      <c r="V1169" s="20"/>
    </row>
    <row r="1170" spans="1:22" ht="14.4">
      <c r="A1170" s="388" t="s">
        <v>1633</v>
      </c>
      <c r="B1170" s="2" t="s">
        <v>78</v>
      </c>
      <c r="C1170" s="399">
        <v>220</v>
      </c>
      <c r="D1170" s="406">
        <v>250</v>
      </c>
      <c r="E1170" s="399">
        <v>76.5</v>
      </c>
      <c r="F1170" s="399">
        <v>66.5</v>
      </c>
      <c r="G1170" s="21">
        <f t="shared" si="101"/>
        <v>3.9325000000000001</v>
      </c>
      <c r="H1170" s="20">
        <f t="shared" si="107"/>
        <v>4.2080000000000002</v>
      </c>
      <c r="I1170" s="20">
        <f t="shared" si="108"/>
        <v>3.9329999999999998</v>
      </c>
      <c r="J1170" s="20">
        <f t="shared" si="109"/>
        <v>2.3879999999999999</v>
      </c>
      <c r="K1170" s="75"/>
      <c r="L1170" s="767"/>
      <c r="M1170" s="20"/>
      <c r="N1170" s="20"/>
      <c r="O1170" s="20"/>
      <c r="P1170" s="20"/>
      <c r="Q1170" s="21"/>
      <c r="R1170" s="22" t="s">
        <v>16</v>
      </c>
      <c r="S1170" s="22" t="s">
        <v>16</v>
      </c>
      <c r="T1170" s="20"/>
      <c r="U1170" s="22">
        <f t="shared" si="105"/>
        <v>0</v>
      </c>
      <c r="V1170" s="20"/>
    </row>
    <row r="1171" spans="1:22" ht="14.4">
      <c r="A1171" s="388" t="s">
        <v>1634</v>
      </c>
      <c r="B1171" s="2" t="s">
        <v>78</v>
      </c>
      <c r="C1171" s="399">
        <v>220</v>
      </c>
      <c r="D1171" s="406">
        <v>250</v>
      </c>
      <c r="E1171" s="399">
        <v>75</v>
      </c>
      <c r="F1171" s="399">
        <v>68</v>
      </c>
      <c r="G1171" s="21">
        <f t="shared" si="101"/>
        <v>3.9325000000000001</v>
      </c>
      <c r="H1171" s="20">
        <f t="shared" si="107"/>
        <v>4.125</v>
      </c>
      <c r="I1171" s="20">
        <f t="shared" si="108"/>
        <v>3.9329999999999998</v>
      </c>
      <c r="J1171" s="20">
        <f t="shared" si="109"/>
        <v>2.431</v>
      </c>
      <c r="K1171" s="75"/>
      <c r="L1171" s="767"/>
      <c r="M1171" s="20"/>
      <c r="N1171" s="20"/>
      <c r="O1171" s="20"/>
      <c r="P1171" s="20"/>
      <c r="Q1171" s="21"/>
      <c r="R1171" s="22" t="s">
        <v>16</v>
      </c>
      <c r="S1171" s="22" t="s">
        <v>16</v>
      </c>
      <c r="T1171" s="20"/>
      <c r="U1171" s="22">
        <f t="shared" si="105"/>
        <v>0</v>
      </c>
      <c r="V1171" s="20"/>
    </row>
    <row r="1172" spans="1:22" ht="14.4">
      <c r="A1172" s="388" t="s">
        <v>1635</v>
      </c>
      <c r="B1172" s="2" t="s">
        <v>78</v>
      </c>
      <c r="C1172" s="399">
        <v>220</v>
      </c>
      <c r="D1172" s="406">
        <v>250</v>
      </c>
      <c r="E1172" s="399">
        <v>74</v>
      </c>
      <c r="F1172" s="399">
        <v>69</v>
      </c>
      <c r="G1172" s="21">
        <f t="shared" si="101"/>
        <v>3.9325000000000001</v>
      </c>
      <c r="H1172" s="20">
        <f t="shared" si="107"/>
        <v>4.07</v>
      </c>
      <c r="I1172" s="20">
        <f t="shared" si="108"/>
        <v>3.9329999999999998</v>
      </c>
      <c r="J1172" s="20">
        <f t="shared" si="109"/>
        <v>2.4590000000000001</v>
      </c>
      <c r="K1172" s="75"/>
      <c r="L1172" s="767"/>
      <c r="M1172" s="20"/>
      <c r="N1172" s="20"/>
      <c r="O1172" s="20"/>
      <c r="P1172" s="20"/>
      <c r="Q1172" s="21"/>
      <c r="R1172" s="22" t="s">
        <v>16</v>
      </c>
      <c r="S1172" s="22" t="s">
        <v>16</v>
      </c>
      <c r="T1172" s="20"/>
      <c r="U1172" s="22">
        <f t="shared" si="105"/>
        <v>0</v>
      </c>
      <c r="V1172" s="20"/>
    </row>
    <row r="1173" spans="1:22" ht="14.4">
      <c r="A1173" s="388" t="s">
        <v>1636</v>
      </c>
      <c r="B1173" s="2" t="s">
        <v>78</v>
      </c>
      <c r="C1173" s="399">
        <v>220</v>
      </c>
      <c r="D1173" s="406">
        <v>250</v>
      </c>
      <c r="E1173" s="399">
        <v>73.5</v>
      </c>
      <c r="F1173" s="399">
        <v>69.5</v>
      </c>
      <c r="G1173" s="21">
        <f t="shared" ref="G1173:G1174" si="110">IF(B1173="","",AVERAGE(E1173:F1173)*D1173*C1173/10^6)</f>
        <v>3.9325000000000001</v>
      </c>
      <c r="H1173" s="20">
        <f t="shared" si="107"/>
        <v>4.0430000000000001</v>
      </c>
      <c r="I1173" s="20">
        <f t="shared" si="108"/>
        <v>3.9329999999999998</v>
      </c>
      <c r="J1173" s="20">
        <f t="shared" si="109"/>
        <v>2.4729999999999999</v>
      </c>
      <c r="K1173" s="75"/>
      <c r="L1173" s="767"/>
      <c r="M1173" s="20"/>
      <c r="N1173" s="20"/>
      <c r="O1173" s="20"/>
      <c r="P1173" s="20"/>
      <c r="Q1173" s="21"/>
      <c r="R1173" s="22" t="s">
        <v>16</v>
      </c>
      <c r="S1173" s="22" t="s">
        <v>16</v>
      </c>
      <c r="T1173" s="20"/>
      <c r="U1173" s="22">
        <f t="shared" si="105"/>
        <v>0</v>
      </c>
      <c r="V1173" s="20"/>
    </row>
    <row r="1174" spans="1:22" ht="14.4">
      <c r="A1174" s="390" t="s">
        <v>1637</v>
      </c>
      <c r="B1174" s="2" t="s">
        <v>78</v>
      </c>
      <c r="C1174" s="400">
        <v>250</v>
      </c>
      <c r="D1174" s="408">
        <v>250</v>
      </c>
      <c r="E1174" s="400">
        <v>76.5</v>
      </c>
      <c r="F1174" s="400">
        <v>66.5</v>
      </c>
      <c r="G1174" s="21">
        <f t="shared" si="110"/>
        <v>4.46875</v>
      </c>
      <c r="H1174" s="20">
        <f t="shared" si="107"/>
        <v>4.7809999999999997</v>
      </c>
      <c r="I1174" s="20">
        <f t="shared" si="108"/>
        <v>4.4690000000000003</v>
      </c>
      <c r="J1174" s="20">
        <f t="shared" si="109"/>
        <v>2.714</v>
      </c>
      <c r="K1174" s="75"/>
      <c r="L1174" s="767"/>
      <c r="M1174" s="20"/>
      <c r="N1174" s="20"/>
      <c r="O1174" s="20"/>
      <c r="P1174" s="20"/>
      <c r="Q1174" s="21"/>
      <c r="R1174" s="22" t="s">
        <v>16</v>
      </c>
      <c r="S1174" s="22" t="s">
        <v>16</v>
      </c>
      <c r="T1174" s="20"/>
      <c r="U1174" s="22">
        <f t="shared" ref="U1174:U1220" si="111">U1173</f>
        <v>0</v>
      </c>
      <c r="V1174" s="20"/>
    </row>
    <row r="1175" spans="1:22" ht="13.8" thickBot="1">
      <c r="A1175" s="76"/>
      <c r="E1175" s="3"/>
      <c r="F1175" s="3"/>
      <c r="G1175" s="21"/>
      <c r="H1175" s="20"/>
      <c r="I1175" s="20"/>
      <c r="J1175" s="20"/>
      <c r="K1175" s="75"/>
      <c r="L1175" s="767"/>
      <c r="M1175" s="20"/>
      <c r="N1175" s="20"/>
      <c r="O1175" s="20"/>
      <c r="P1175" s="20"/>
      <c r="Q1175" s="21"/>
      <c r="R1175" s="22" t="s">
        <v>16</v>
      </c>
      <c r="S1175" s="22" t="s">
        <v>16</v>
      </c>
      <c r="T1175" s="20"/>
      <c r="U1175" s="22">
        <f t="shared" si="111"/>
        <v>0</v>
      </c>
      <c r="V1175" s="20"/>
    </row>
    <row r="1176" spans="1:22" ht="25.2" thickBot="1">
      <c r="A1176" s="64" t="s">
        <v>1638</v>
      </c>
      <c r="B1176" s="72"/>
      <c r="C1176" s="72"/>
      <c r="D1176" s="72"/>
      <c r="E1176" s="72"/>
      <c r="F1176" s="72"/>
      <c r="G1176" s="102"/>
      <c r="H1176" s="72"/>
      <c r="I1176" s="72"/>
      <c r="J1176" s="72"/>
      <c r="K1176" s="72"/>
      <c r="L1176" s="767"/>
      <c r="M1176" s="20"/>
      <c r="N1176" s="20"/>
      <c r="O1176" s="20"/>
      <c r="P1176" s="20"/>
      <c r="Q1176" s="21"/>
      <c r="R1176" s="22" t="s">
        <v>16</v>
      </c>
      <c r="S1176" s="22" t="s">
        <v>16</v>
      </c>
      <c r="T1176" s="20"/>
      <c r="U1176" s="22">
        <f t="shared" si="111"/>
        <v>0</v>
      </c>
      <c r="V1176" s="20"/>
    </row>
    <row r="1177" spans="1:22" ht="14.4">
      <c r="A1177" s="386" t="s">
        <v>1639</v>
      </c>
      <c r="B1177" s="2" t="s">
        <v>78</v>
      </c>
      <c r="C1177" s="396">
        <v>160</v>
      </c>
      <c r="D1177" s="410">
        <v>198</v>
      </c>
      <c r="E1177" s="396">
        <v>85</v>
      </c>
      <c r="F1177" s="396">
        <v>77</v>
      </c>
      <c r="G1177" s="21">
        <f t="shared" ref="G1177:G1218" si="112">IF(B1177="","",AVERAGE(E1177:F1177)*D1177*C1177/10^6)</f>
        <v>2.5660799999999999</v>
      </c>
      <c r="H1177" s="20">
        <f t="shared" ref="H1177:H1218" si="113">ROUND(C1177*D1177*E1177/10^6,3)</f>
        <v>2.6930000000000001</v>
      </c>
      <c r="I1177" s="20">
        <f t="shared" ref="I1177:I1218" si="114">IF(F1177="","-",ROUND((E1177+F1177)*C1177/2*D1177/10^6,3))</f>
        <v>2.5659999999999998</v>
      </c>
      <c r="J1177" s="20">
        <f t="shared" ref="J1177:J1218" si="115">IF(F1177="","-",ROUND((D1177+E1177)*C1177/2*F1177/10^6,3))</f>
        <v>1.7430000000000001</v>
      </c>
      <c r="K1177" s="75"/>
      <c r="L1177" s="767"/>
      <c r="M1177" s="20"/>
      <c r="N1177" s="20"/>
      <c r="O1177" s="20"/>
      <c r="P1177" s="20"/>
      <c r="Q1177" s="21"/>
      <c r="R1177" s="22" t="s">
        <v>16</v>
      </c>
      <c r="S1177" s="22" t="s">
        <v>16</v>
      </c>
      <c r="T1177" s="20"/>
      <c r="U1177" s="22">
        <f t="shared" si="111"/>
        <v>0</v>
      </c>
      <c r="V1177" s="20"/>
    </row>
    <row r="1178" spans="1:22" ht="14.4">
      <c r="A1178" s="392" t="s">
        <v>1640</v>
      </c>
      <c r="B1178" s="2" t="s">
        <v>78</v>
      </c>
      <c r="C1178" s="397">
        <v>160</v>
      </c>
      <c r="D1178" s="409">
        <v>198</v>
      </c>
      <c r="E1178" s="397">
        <v>65</v>
      </c>
      <c r="F1178" s="397">
        <v>60</v>
      </c>
      <c r="G1178" s="21">
        <f t="shared" si="112"/>
        <v>1.98</v>
      </c>
      <c r="H1178" s="20">
        <f t="shared" si="113"/>
        <v>2.0590000000000002</v>
      </c>
      <c r="I1178" s="20">
        <f t="shared" si="114"/>
        <v>1.98</v>
      </c>
      <c r="J1178" s="20">
        <f t="shared" si="115"/>
        <v>1.262</v>
      </c>
      <c r="K1178" s="75"/>
      <c r="L1178" s="767"/>
      <c r="M1178" s="20"/>
      <c r="N1178" s="20"/>
      <c r="O1178" s="20"/>
      <c r="P1178" s="20"/>
      <c r="Q1178" s="21"/>
      <c r="R1178" s="22" t="s">
        <v>16</v>
      </c>
      <c r="S1178" s="22" t="s">
        <v>16</v>
      </c>
      <c r="T1178" s="20"/>
      <c r="U1178" s="22">
        <f t="shared" si="111"/>
        <v>0</v>
      </c>
      <c r="V1178" s="20"/>
    </row>
    <row r="1179" spans="1:22" ht="14.4">
      <c r="A1179" s="385" t="s">
        <v>1641</v>
      </c>
      <c r="B1179" s="2" t="s">
        <v>78</v>
      </c>
      <c r="C1179" s="394">
        <v>180</v>
      </c>
      <c r="D1179" s="403">
        <v>198</v>
      </c>
      <c r="E1179" s="394">
        <v>85</v>
      </c>
      <c r="F1179" s="394">
        <v>77</v>
      </c>
      <c r="G1179" s="21">
        <f t="shared" si="112"/>
        <v>2.8868399999999999</v>
      </c>
      <c r="H1179" s="20">
        <f t="shared" si="113"/>
        <v>3.0289999999999999</v>
      </c>
      <c r="I1179" s="20">
        <f t="shared" si="114"/>
        <v>2.887</v>
      </c>
      <c r="J1179" s="20">
        <f t="shared" si="115"/>
        <v>1.9610000000000001</v>
      </c>
      <c r="K1179" s="75"/>
      <c r="L1179" s="767"/>
      <c r="M1179" s="20"/>
      <c r="N1179" s="20"/>
      <c r="O1179" s="20"/>
      <c r="P1179" s="20"/>
      <c r="Q1179" s="21"/>
      <c r="R1179" s="22" t="s">
        <v>16</v>
      </c>
      <c r="S1179" s="22" t="s">
        <v>16</v>
      </c>
      <c r="T1179" s="20"/>
      <c r="U1179" s="22">
        <f t="shared" si="111"/>
        <v>0</v>
      </c>
      <c r="V1179" s="20"/>
    </row>
    <row r="1180" spans="1:22" ht="14.4">
      <c r="A1180" s="385" t="s">
        <v>1642</v>
      </c>
      <c r="B1180" s="2" t="s">
        <v>78</v>
      </c>
      <c r="C1180" s="394">
        <v>180</v>
      </c>
      <c r="D1180" s="403">
        <v>198</v>
      </c>
      <c r="E1180" s="394">
        <v>65</v>
      </c>
      <c r="F1180" s="394">
        <v>60</v>
      </c>
      <c r="G1180" s="21">
        <f t="shared" si="112"/>
        <v>2.2275</v>
      </c>
      <c r="H1180" s="20">
        <f t="shared" si="113"/>
        <v>2.3170000000000002</v>
      </c>
      <c r="I1180" s="20">
        <f t="shared" si="114"/>
        <v>2.2280000000000002</v>
      </c>
      <c r="J1180" s="20">
        <f t="shared" si="115"/>
        <v>1.42</v>
      </c>
      <c r="K1180" s="75"/>
      <c r="L1180" s="767"/>
      <c r="M1180" s="20"/>
      <c r="N1180" s="20"/>
      <c r="O1180" s="20"/>
      <c r="P1180" s="20"/>
      <c r="Q1180" s="21"/>
      <c r="R1180" s="22" t="s">
        <v>16</v>
      </c>
      <c r="S1180" s="22" t="s">
        <v>16</v>
      </c>
      <c r="T1180" s="20"/>
      <c r="U1180" s="22">
        <f t="shared" si="111"/>
        <v>0</v>
      </c>
      <c r="V1180" s="20"/>
    </row>
    <row r="1181" spans="1:22" ht="14.4">
      <c r="A1181" s="412" t="s">
        <v>1643</v>
      </c>
      <c r="B1181" s="2" t="s">
        <v>78</v>
      </c>
      <c r="C1181" s="413">
        <v>180</v>
      </c>
      <c r="D1181" s="414">
        <v>198</v>
      </c>
      <c r="E1181" s="413">
        <v>95</v>
      </c>
      <c r="F1181" s="413">
        <v>87</v>
      </c>
      <c r="G1181" s="21">
        <f t="shared" si="112"/>
        <v>3.2432400000000001</v>
      </c>
      <c r="H1181" s="20">
        <f t="shared" si="113"/>
        <v>3.3860000000000001</v>
      </c>
      <c r="I1181" s="20">
        <f t="shared" si="114"/>
        <v>3.2429999999999999</v>
      </c>
      <c r="J1181" s="20">
        <f t="shared" si="115"/>
        <v>2.294</v>
      </c>
      <c r="K1181" s="75"/>
      <c r="L1181" s="767"/>
      <c r="M1181" s="20"/>
      <c r="N1181" s="20"/>
      <c r="O1181" s="20"/>
      <c r="P1181" s="20"/>
      <c r="Q1181" s="21"/>
      <c r="R1181" s="22" t="s">
        <v>16</v>
      </c>
      <c r="S1181" s="22" t="s">
        <v>16</v>
      </c>
      <c r="T1181" s="20"/>
      <c r="U1181" s="22">
        <f t="shared" si="111"/>
        <v>0</v>
      </c>
      <c r="V1181" s="20"/>
    </row>
    <row r="1182" spans="1:22" ht="14.4">
      <c r="A1182" s="389" t="s">
        <v>1644</v>
      </c>
      <c r="B1182" s="2" t="s">
        <v>78</v>
      </c>
      <c r="C1182" s="395">
        <v>200</v>
      </c>
      <c r="D1182" s="405">
        <v>198</v>
      </c>
      <c r="E1182" s="395">
        <v>85</v>
      </c>
      <c r="F1182" s="395">
        <v>77</v>
      </c>
      <c r="G1182" s="21">
        <f t="shared" si="112"/>
        <v>3.2075999999999998</v>
      </c>
      <c r="H1182" s="20">
        <f t="shared" si="113"/>
        <v>3.3660000000000001</v>
      </c>
      <c r="I1182" s="20">
        <f t="shared" si="114"/>
        <v>3.2080000000000002</v>
      </c>
      <c r="J1182" s="20">
        <f t="shared" si="115"/>
        <v>2.1789999999999998</v>
      </c>
      <c r="K1182" s="75"/>
      <c r="L1182" s="767"/>
      <c r="M1182" s="20"/>
      <c r="N1182" s="20"/>
      <c r="O1182" s="20"/>
      <c r="P1182" s="20"/>
      <c r="Q1182" s="21"/>
      <c r="R1182" s="22" t="s">
        <v>16</v>
      </c>
      <c r="S1182" s="22" t="s">
        <v>16</v>
      </c>
      <c r="T1182" s="20"/>
      <c r="U1182" s="22">
        <f t="shared" si="111"/>
        <v>0</v>
      </c>
      <c r="V1182" s="20"/>
    </row>
    <row r="1183" spans="1:22" ht="14.4">
      <c r="A1183" s="389" t="s">
        <v>1645</v>
      </c>
      <c r="B1183" s="2" t="s">
        <v>78</v>
      </c>
      <c r="C1183" s="395">
        <v>200</v>
      </c>
      <c r="D1183" s="405">
        <v>198</v>
      </c>
      <c r="E1183" s="395">
        <v>65</v>
      </c>
      <c r="F1183" s="395">
        <v>60</v>
      </c>
      <c r="G1183" s="21">
        <f t="shared" si="112"/>
        <v>2.4750000000000001</v>
      </c>
      <c r="H1183" s="20">
        <f t="shared" si="113"/>
        <v>2.5739999999999998</v>
      </c>
      <c r="I1183" s="20">
        <f t="shared" si="114"/>
        <v>2.4750000000000001</v>
      </c>
      <c r="J1183" s="20">
        <f t="shared" si="115"/>
        <v>1.5780000000000001</v>
      </c>
      <c r="K1183" s="75"/>
      <c r="L1183" s="767"/>
      <c r="M1183" s="20"/>
      <c r="N1183" s="20"/>
      <c r="O1183" s="20"/>
      <c r="P1183" s="20"/>
      <c r="Q1183" s="21"/>
      <c r="R1183" s="22" t="s">
        <v>16</v>
      </c>
      <c r="S1183" s="22" t="s">
        <v>16</v>
      </c>
      <c r="T1183" s="20"/>
      <c r="U1183" s="22">
        <f t="shared" si="111"/>
        <v>0</v>
      </c>
      <c r="V1183" s="20"/>
    </row>
    <row r="1184" spans="1:22" ht="14.4">
      <c r="A1184" s="412" t="s">
        <v>1646</v>
      </c>
      <c r="B1184" s="2" t="s">
        <v>78</v>
      </c>
      <c r="C1184" s="413">
        <v>200</v>
      </c>
      <c r="D1184" s="414">
        <v>198</v>
      </c>
      <c r="E1184" s="413">
        <v>95</v>
      </c>
      <c r="F1184" s="413">
        <v>87</v>
      </c>
      <c r="G1184" s="21">
        <f t="shared" si="112"/>
        <v>3.6036000000000001</v>
      </c>
      <c r="H1184" s="20">
        <f t="shared" si="113"/>
        <v>3.762</v>
      </c>
      <c r="I1184" s="20">
        <f t="shared" si="114"/>
        <v>3.6040000000000001</v>
      </c>
      <c r="J1184" s="20">
        <f t="shared" si="115"/>
        <v>2.5489999999999999</v>
      </c>
      <c r="K1184" s="75"/>
      <c r="L1184" s="767"/>
      <c r="M1184" s="20"/>
      <c r="N1184" s="20"/>
      <c r="O1184" s="20"/>
      <c r="P1184" s="20"/>
      <c r="Q1184" s="21"/>
      <c r="R1184" s="22" t="s">
        <v>16</v>
      </c>
      <c r="S1184" s="22" t="s">
        <v>16</v>
      </c>
      <c r="T1184" s="20"/>
      <c r="U1184" s="22">
        <f t="shared" si="111"/>
        <v>0</v>
      </c>
      <c r="V1184" s="20"/>
    </row>
    <row r="1185" spans="1:22" ht="14.4">
      <c r="A1185" s="388" t="s">
        <v>1647</v>
      </c>
      <c r="B1185" s="2" t="s">
        <v>78</v>
      </c>
      <c r="C1185" s="399">
        <v>220</v>
      </c>
      <c r="D1185" s="406">
        <v>198</v>
      </c>
      <c r="E1185" s="399">
        <v>85</v>
      </c>
      <c r="F1185" s="399">
        <v>77</v>
      </c>
      <c r="G1185" s="21">
        <f t="shared" si="112"/>
        <v>3.5283600000000002</v>
      </c>
      <c r="H1185" s="20">
        <f t="shared" si="113"/>
        <v>3.7029999999999998</v>
      </c>
      <c r="I1185" s="20">
        <f t="shared" si="114"/>
        <v>3.528</v>
      </c>
      <c r="J1185" s="20">
        <f t="shared" si="115"/>
        <v>2.3969999999999998</v>
      </c>
      <c r="K1185" s="75"/>
      <c r="L1185" s="767"/>
      <c r="M1185" s="20"/>
      <c r="N1185" s="20"/>
      <c r="O1185" s="20"/>
      <c r="P1185" s="20"/>
      <c r="Q1185" s="21"/>
      <c r="R1185" s="22" t="s">
        <v>16</v>
      </c>
      <c r="S1185" s="22" t="s">
        <v>16</v>
      </c>
      <c r="T1185" s="20"/>
      <c r="U1185" s="22">
        <f t="shared" si="111"/>
        <v>0</v>
      </c>
      <c r="V1185" s="20"/>
    </row>
    <row r="1186" spans="1:22" ht="14.4">
      <c r="A1186" s="388" t="s">
        <v>1648</v>
      </c>
      <c r="B1186" s="2" t="s">
        <v>78</v>
      </c>
      <c r="C1186" s="399">
        <v>220</v>
      </c>
      <c r="D1186" s="406">
        <v>198</v>
      </c>
      <c r="E1186" s="399">
        <v>65</v>
      </c>
      <c r="F1186" s="399">
        <v>60</v>
      </c>
      <c r="G1186" s="21">
        <f t="shared" si="112"/>
        <v>2.7225000000000001</v>
      </c>
      <c r="H1186" s="20">
        <f t="shared" si="113"/>
        <v>2.831</v>
      </c>
      <c r="I1186" s="20">
        <f t="shared" si="114"/>
        <v>2.7229999999999999</v>
      </c>
      <c r="J1186" s="20">
        <f t="shared" si="115"/>
        <v>1.736</v>
      </c>
      <c r="K1186" s="75"/>
      <c r="L1186" s="767"/>
      <c r="M1186" s="20"/>
      <c r="N1186" s="20"/>
      <c r="O1186" s="20"/>
      <c r="P1186" s="20"/>
      <c r="Q1186" s="21"/>
      <c r="R1186" s="22" t="s">
        <v>16</v>
      </c>
      <c r="S1186" s="22" t="s">
        <v>16</v>
      </c>
      <c r="T1186" s="20"/>
      <c r="U1186" s="22">
        <f t="shared" si="111"/>
        <v>0</v>
      </c>
      <c r="V1186" s="20"/>
    </row>
    <row r="1187" spans="1:22" ht="14.4">
      <c r="A1187" s="412" t="s">
        <v>1649</v>
      </c>
      <c r="B1187" s="2" t="s">
        <v>78</v>
      </c>
      <c r="C1187" s="413">
        <v>220</v>
      </c>
      <c r="D1187" s="414">
        <v>198</v>
      </c>
      <c r="E1187" s="413">
        <v>95</v>
      </c>
      <c r="F1187" s="413">
        <v>87</v>
      </c>
      <c r="G1187" s="21">
        <f t="shared" si="112"/>
        <v>3.9639600000000002</v>
      </c>
      <c r="H1187" s="20">
        <f t="shared" si="113"/>
        <v>4.1379999999999999</v>
      </c>
      <c r="I1187" s="20">
        <f t="shared" si="114"/>
        <v>3.964</v>
      </c>
      <c r="J1187" s="20">
        <f t="shared" si="115"/>
        <v>2.8039999999999998</v>
      </c>
      <c r="K1187" s="75"/>
      <c r="L1187" s="767"/>
      <c r="M1187" s="20"/>
      <c r="N1187" s="20"/>
      <c r="O1187" s="20"/>
      <c r="P1187" s="20"/>
      <c r="Q1187" s="21"/>
      <c r="R1187" s="22" t="s">
        <v>16</v>
      </c>
      <c r="S1187" s="22" t="s">
        <v>16</v>
      </c>
      <c r="T1187" s="20"/>
      <c r="U1187" s="22">
        <f t="shared" si="111"/>
        <v>0</v>
      </c>
      <c r="V1187" s="20"/>
    </row>
    <row r="1188" spans="1:22" ht="14.4">
      <c r="A1188" s="390" t="s">
        <v>1650</v>
      </c>
      <c r="B1188" s="2" t="s">
        <v>78</v>
      </c>
      <c r="C1188" s="400">
        <v>250</v>
      </c>
      <c r="D1188" s="408">
        <v>198</v>
      </c>
      <c r="E1188" s="400">
        <v>85</v>
      </c>
      <c r="F1188" s="400">
        <v>77</v>
      </c>
      <c r="G1188" s="21">
        <f t="shared" si="112"/>
        <v>4.0095000000000001</v>
      </c>
      <c r="H1188" s="20">
        <f t="shared" si="113"/>
        <v>4.2080000000000002</v>
      </c>
      <c r="I1188" s="20">
        <f t="shared" si="114"/>
        <v>4.01</v>
      </c>
      <c r="J1188" s="20">
        <f t="shared" si="115"/>
        <v>2.7240000000000002</v>
      </c>
      <c r="K1188" s="75"/>
      <c r="L1188" s="767"/>
      <c r="M1188" s="20"/>
      <c r="N1188" s="20"/>
      <c r="O1188" s="20"/>
      <c r="P1188" s="20"/>
      <c r="Q1188" s="21"/>
      <c r="R1188" s="22" t="s">
        <v>16</v>
      </c>
      <c r="S1188" s="22" t="s">
        <v>16</v>
      </c>
      <c r="T1188" s="20"/>
      <c r="U1188" s="22">
        <f t="shared" si="111"/>
        <v>0</v>
      </c>
      <c r="V1188" s="20"/>
    </row>
    <row r="1189" spans="1:22" ht="14.4">
      <c r="A1189" s="390" t="s">
        <v>1651</v>
      </c>
      <c r="B1189" s="2" t="s">
        <v>78</v>
      </c>
      <c r="C1189" s="400">
        <v>250</v>
      </c>
      <c r="D1189" s="408">
        <v>198</v>
      </c>
      <c r="E1189" s="400">
        <v>65</v>
      </c>
      <c r="F1189" s="400">
        <v>60</v>
      </c>
      <c r="G1189" s="21">
        <f t="shared" si="112"/>
        <v>3.09375</v>
      </c>
      <c r="H1189" s="20">
        <f t="shared" si="113"/>
        <v>3.218</v>
      </c>
      <c r="I1189" s="20">
        <f t="shared" si="114"/>
        <v>3.0939999999999999</v>
      </c>
      <c r="J1189" s="20">
        <f t="shared" si="115"/>
        <v>1.9730000000000001</v>
      </c>
      <c r="K1189" s="75"/>
      <c r="L1189" s="767"/>
      <c r="M1189" s="20"/>
      <c r="N1189" s="20"/>
      <c r="O1189" s="20"/>
      <c r="P1189" s="20"/>
      <c r="Q1189" s="21"/>
      <c r="R1189" s="22" t="s">
        <v>16</v>
      </c>
      <c r="S1189" s="22" t="s">
        <v>16</v>
      </c>
      <c r="T1189" s="20"/>
      <c r="U1189" s="22">
        <f t="shared" si="111"/>
        <v>0</v>
      </c>
      <c r="V1189" s="20"/>
    </row>
    <row r="1190" spans="1:22" ht="14.4">
      <c r="A1190" s="412" t="s">
        <v>1652</v>
      </c>
      <c r="B1190" s="2" t="s">
        <v>78</v>
      </c>
      <c r="C1190" s="413">
        <v>250</v>
      </c>
      <c r="D1190" s="414">
        <v>198</v>
      </c>
      <c r="E1190" s="413">
        <v>95</v>
      </c>
      <c r="F1190" s="413">
        <v>87</v>
      </c>
      <c r="G1190" s="21">
        <f t="shared" si="112"/>
        <v>4.5045000000000002</v>
      </c>
      <c r="H1190" s="20">
        <f t="shared" si="113"/>
        <v>4.7030000000000003</v>
      </c>
      <c r="I1190" s="20">
        <f t="shared" si="114"/>
        <v>4.5049999999999999</v>
      </c>
      <c r="J1190" s="20">
        <f t="shared" si="115"/>
        <v>3.1859999999999999</v>
      </c>
      <c r="K1190" s="75"/>
      <c r="L1190" s="767"/>
      <c r="M1190" s="20"/>
      <c r="N1190" s="20"/>
      <c r="O1190" s="20"/>
      <c r="P1190" s="20"/>
      <c r="Q1190" s="21"/>
      <c r="R1190" s="22" t="s">
        <v>16</v>
      </c>
      <c r="S1190" s="22" t="s">
        <v>16</v>
      </c>
      <c r="T1190" s="20"/>
      <c r="U1190" s="22">
        <f t="shared" si="111"/>
        <v>0</v>
      </c>
      <c r="V1190" s="20"/>
    </row>
    <row r="1191" spans="1:22" ht="14.4">
      <c r="A1191" s="391" t="s">
        <v>1653</v>
      </c>
      <c r="B1191" s="2" t="s">
        <v>78</v>
      </c>
      <c r="C1191" s="401">
        <v>300</v>
      </c>
      <c r="D1191" s="407">
        <v>198</v>
      </c>
      <c r="E1191" s="401">
        <v>85</v>
      </c>
      <c r="F1191" s="401">
        <v>77</v>
      </c>
      <c r="G1191" s="21">
        <f t="shared" si="112"/>
        <v>4.8113999999999999</v>
      </c>
      <c r="H1191" s="20">
        <f t="shared" si="113"/>
        <v>5.0490000000000004</v>
      </c>
      <c r="I1191" s="20">
        <f t="shared" si="114"/>
        <v>4.8109999999999999</v>
      </c>
      <c r="J1191" s="20">
        <f t="shared" si="115"/>
        <v>3.2690000000000001</v>
      </c>
      <c r="K1191" s="75"/>
      <c r="L1191" s="767"/>
      <c r="M1191" s="20"/>
      <c r="N1191" s="20"/>
      <c r="O1191" s="20"/>
      <c r="P1191" s="20"/>
      <c r="Q1191" s="21"/>
      <c r="R1191" s="22" t="s">
        <v>16</v>
      </c>
      <c r="S1191" s="22" t="s">
        <v>16</v>
      </c>
      <c r="T1191" s="20"/>
      <c r="U1191" s="22">
        <f t="shared" si="111"/>
        <v>0</v>
      </c>
      <c r="V1191" s="20"/>
    </row>
    <row r="1192" spans="1:22" ht="15" thickBot="1">
      <c r="A1192" s="393" t="s">
        <v>1654</v>
      </c>
      <c r="B1192" s="2" t="s">
        <v>78</v>
      </c>
      <c r="C1192" s="402">
        <v>300</v>
      </c>
      <c r="D1192" s="411">
        <v>198</v>
      </c>
      <c r="E1192" s="402">
        <v>65</v>
      </c>
      <c r="F1192" s="402">
        <v>60</v>
      </c>
      <c r="G1192" s="21">
        <f t="shared" si="112"/>
        <v>3.7124999999999999</v>
      </c>
      <c r="H1192" s="20">
        <f t="shared" si="113"/>
        <v>3.8610000000000002</v>
      </c>
      <c r="I1192" s="20">
        <f t="shared" si="114"/>
        <v>3.7130000000000001</v>
      </c>
      <c r="J1192" s="20">
        <f t="shared" si="115"/>
        <v>2.367</v>
      </c>
      <c r="K1192" s="75"/>
      <c r="L1192" s="767"/>
      <c r="M1192" s="20"/>
      <c r="N1192" s="20"/>
      <c r="O1192" s="20"/>
      <c r="P1192" s="20"/>
      <c r="Q1192" s="21"/>
      <c r="R1192" s="22" t="s">
        <v>16</v>
      </c>
      <c r="S1192" s="22" t="s">
        <v>16</v>
      </c>
      <c r="T1192" s="20"/>
      <c r="U1192" s="22">
        <f t="shared" si="111"/>
        <v>0</v>
      </c>
      <c r="V1192" s="20"/>
    </row>
    <row r="1193" spans="1:22" ht="13.8" thickBot="1">
      <c r="A1193" s="76"/>
      <c r="B1193" s="2" t="s">
        <v>78</v>
      </c>
      <c r="G1193" s="21" t="str">
        <f t="shared" ref="G1193:G1206" si="116">IF(B1193="","",IF(OR(B1193="PA",B1193="PL"),H1193,IF(OR(B1193="VDZ",B1193="ISO",B1193="A1",B1193="A2",B1193="A3",B1193="AE",B1193="A2/3",B1193="A3/4",B1193="C1",B1193="C2",B1193="C3",B1193="CE",B1193="C2/3",B1193="C3/4"),I1193,J1193)))</f>
        <v>-</v>
      </c>
      <c r="H1193" s="20">
        <f t="shared" si="113"/>
        <v>0</v>
      </c>
      <c r="I1193" s="20" t="str">
        <f t="shared" si="114"/>
        <v>-</v>
      </c>
      <c r="J1193" s="20" t="str">
        <f t="shared" si="115"/>
        <v>-</v>
      </c>
      <c r="K1193" s="75"/>
      <c r="L1193" s="767"/>
      <c r="M1193" s="20"/>
      <c r="N1193" s="20"/>
      <c r="O1193" s="20"/>
      <c r="P1193" s="20"/>
      <c r="Q1193" s="21"/>
      <c r="R1193" s="22" t="s">
        <v>16</v>
      </c>
      <c r="S1193" s="22" t="s">
        <v>16</v>
      </c>
      <c r="T1193" s="20"/>
      <c r="U1193" s="22">
        <f t="shared" si="111"/>
        <v>0</v>
      </c>
      <c r="V1193" s="20"/>
    </row>
    <row r="1194" spans="1:22" ht="14.4">
      <c r="A1194" s="386" t="s">
        <v>1655</v>
      </c>
      <c r="B1194" s="2" t="s">
        <v>78</v>
      </c>
      <c r="C1194" s="396">
        <v>160</v>
      </c>
      <c r="D1194" s="415">
        <v>300</v>
      </c>
      <c r="E1194" s="396">
        <v>85</v>
      </c>
      <c r="F1194" s="396">
        <v>77</v>
      </c>
      <c r="G1194" s="21">
        <f t="shared" si="112"/>
        <v>3.8879999999999999</v>
      </c>
      <c r="H1194" s="20">
        <f t="shared" si="113"/>
        <v>4.08</v>
      </c>
      <c r="I1194" s="20">
        <f t="shared" si="114"/>
        <v>3.8879999999999999</v>
      </c>
      <c r="J1194" s="20">
        <f t="shared" si="115"/>
        <v>2.3719999999999999</v>
      </c>
      <c r="K1194" s="75"/>
      <c r="L1194" s="767"/>
      <c r="M1194" s="20"/>
      <c r="N1194" s="20"/>
      <c r="O1194" s="20"/>
      <c r="P1194" s="20"/>
      <c r="Q1194" s="21"/>
      <c r="R1194" s="22" t="s">
        <v>16</v>
      </c>
      <c r="S1194" s="22" t="s">
        <v>16</v>
      </c>
      <c r="T1194" s="20"/>
      <c r="U1194" s="22">
        <f t="shared" si="111"/>
        <v>0</v>
      </c>
      <c r="V1194" s="20"/>
    </row>
    <row r="1195" spans="1:22" ht="14.4">
      <c r="A1195" s="392" t="s">
        <v>1656</v>
      </c>
      <c r="B1195" s="2" t="s">
        <v>78</v>
      </c>
      <c r="C1195" s="397">
        <v>160</v>
      </c>
      <c r="D1195" s="404">
        <v>300</v>
      </c>
      <c r="E1195" s="397">
        <v>65</v>
      </c>
      <c r="F1195" s="397">
        <v>60</v>
      </c>
      <c r="G1195" s="21">
        <f t="shared" si="112"/>
        <v>3</v>
      </c>
      <c r="H1195" s="20">
        <f t="shared" si="113"/>
        <v>3.12</v>
      </c>
      <c r="I1195" s="20">
        <f t="shared" si="114"/>
        <v>3</v>
      </c>
      <c r="J1195" s="20">
        <f t="shared" si="115"/>
        <v>1.752</v>
      </c>
      <c r="K1195" s="75"/>
      <c r="L1195" s="767"/>
      <c r="M1195" s="20"/>
      <c r="N1195" s="20"/>
      <c r="O1195" s="20"/>
      <c r="P1195" s="20"/>
      <c r="Q1195" s="21"/>
      <c r="R1195" s="22" t="s">
        <v>16</v>
      </c>
      <c r="S1195" s="22" t="s">
        <v>16</v>
      </c>
      <c r="T1195" s="20"/>
      <c r="U1195" s="22">
        <f t="shared" si="111"/>
        <v>0</v>
      </c>
      <c r="V1195" s="20"/>
    </row>
    <row r="1196" spans="1:22" ht="14.4">
      <c r="A1196" s="385" t="s">
        <v>1657</v>
      </c>
      <c r="B1196" s="2" t="s">
        <v>78</v>
      </c>
      <c r="C1196" s="394">
        <v>180</v>
      </c>
      <c r="D1196" s="403">
        <v>300</v>
      </c>
      <c r="E1196" s="394">
        <v>85</v>
      </c>
      <c r="F1196" s="394">
        <v>77</v>
      </c>
      <c r="G1196" s="21">
        <f t="shared" si="112"/>
        <v>4.3739999999999997</v>
      </c>
      <c r="H1196" s="20">
        <f t="shared" si="113"/>
        <v>4.59</v>
      </c>
      <c r="I1196" s="20">
        <f t="shared" si="114"/>
        <v>4.3739999999999997</v>
      </c>
      <c r="J1196" s="20">
        <f t="shared" si="115"/>
        <v>2.6680000000000001</v>
      </c>
      <c r="K1196" s="75"/>
      <c r="L1196" s="767"/>
      <c r="M1196" s="20"/>
      <c r="N1196" s="20"/>
      <c r="O1196" s="20"/>
      <c r="P1196" s="20"/>
      <c r="Q1196" s="21"/>
      <c r="R1196" s="22" t="s">
        <v>16</v>
      </c>
      <c r="S1196" s="22" t="s">
        <v>16</v>
      </c>
      <c r="T1196" s="20"/>
      <c r="U1196" s="22">
        <f t="shared" si="111"/>
        <v>0</v>
      </c>
      <c r="V1196" s="20"/>
    </row>
    <row r="1197" spans="1:22" ht="14.4">
      <c r="A1197" s="385" t="s">
        <v>1658</v>
      </c>
      <c r="B1197" s="2" t="s">
        <v>78</v>
      </c>
      <c r="C1197" s="394">
        <v>180</v>
      </c>
      <c r="D1197" s="403">
        <v>300</v>
      </c>
      <c r="E1197" s="394">
        <v>65</v>
      </c>
      <c r="F1197" s="394">
        <v>60</v>
      </c>
      <c r="G1197" s="21">
        <f t="shared" si="112"/>
        <v>3.375</v>
      </c>
      <c r="H1197" s="20">
        <f t="shared" si="113"/>
        <v>3.51</v>
      </c>
      <c r="I1197" s="20">
        <f t="shared" si="114"/>
        <v>3.375</v>
      </c>
      <c r="J1197" s="20">
        <f t="shared" si="115"/>
        <v>1.9710000000000001</v>
      </c>
      <c r="K1197" s="75"/>
      <c r="L1197" s="767"/>
      <c r="M1197" s="20"/>
      <c r="N1197" s="20"/>
      <c r="O1197" s="20"/>
      <c r="P1197" s="20"/>
      <c r="Q1197" s="21"/>
      <c r="R1197" s="22" t="s">
        <v>16</v>
      </c>
      <c r="S1197" s="22" t="s">
        <v>16</v>
      </c>
      <c r="T1197" s="20"/>
      <c r="U1197" s="22">
        <f t="shared" si="111"/>
        <v>0</v>
      </c>
      <c r="V1197" s="20"/>
    </row>
    <row r="1198" spans="1:22" ht="14.4">
      <c r="A1198" s="389" t="s">
        <v>1659</v>
      </c>
      <c r="B1198" s="2" t="s">
        <v>78</v>
      </c>
      <c r="C1198" s="395">
        <v>200</v>
      </c>
      <c r="D1198" s="405">
        <v>300</v>
      </c>
      <c r="E1198" s="395">
        <v>85</v>
      </c>
      <c r="F1198" s="395">
        <v>77</v>
      </c>
      <c r="G1198" s="21">
        <f t="shared" si="112"/>
        <v>4.8600000000000003</v>
      </c>
      <c r="H1198" s="20">
        <f t="shared" si="113"/>
        <v>5.0999999999999996</v>
      </c>
      <c r="I1198" s="20">
        <f t="shared" si="114"/>
        <v>4.8600000000000003</v>
      </c>
      <c r="J1198" s="20">
        <f t="shared" si="115"/>
        <v>2.9649999999999999</v>
      </c>
      <c r="K1198" s="75"/>
      <c r="L1198" s="767"/>
      <c r="M1198" s="20"/>
      <c r="N1198" s="20"/>
      <c r="O1198" s="20"/>
      <c r="P1198" s="20"/>
      <c r="Q1198" s="21"/>
      <c r="R1198" s="22" t="s">
        <v>16</v>
      </c>
      <c r="S1198" s="22" t="s">
        <v>16</v>
      </c>
      <c r="T1198" s="20"/>
      <c r="U1198" s="22">
        <f t="shared" si="111"/>
        <v>0</v>
      </c>
      <c r="V1198" s="20"/>
    </row>
    <row r="1199" spans="1:22" ht="14.4">
      <c r="A1199" s="389" t="s">
        <v>1660</v>
      </c>
      <c r="B1199" s="2" t="s">
        <v>78</v>
      </c>
      <c r="C1199" s="395">
        <v>200</v>
      </c>
      <c r="D1199" s="405">
        <v>300</v>
      </c>
      <c r="E1199" s="395">
        <v>65</v>
      </c>
      <c r="F1199" s="395">
        <v>60</v>
      </c>
      <c r="G1199" s="21">
        <f t="shared" si="112"/>
        <v>3.75</v>
      </c>
      <c r="H1199" s="20">
        <f t="shared" si="113"/>
        <v>3.9</v>
      </c>
      <c r="I1199" s="20">
        <f t="shared" si="114"/>
        <v>3.75</v>
      </c>
      <c r="J1199" s="20">
        <f t="shared" si="115"/>
        <v>2.19</v>
      </c>
      <c r="K1199" s="75"/>
      <c r="L1199" s="767"/>
      <c r="M1199" s="20"/>
      <c r="N1199" s="20"/>
      <c r="O1199" s="20"/>
      <c r="P1199" s="20"/>
      <c r="Q1199" s="21"/>
      <c r="R1199" s="22" t="s">
        <v>16</v>
      </c>
      <c r="S1199" s="22" t="s">
        <v>16</v>
      </c>
      <c r="T1199" s="20"/>
      <c r="U1199" s="22">
        <f t="shared" si="111"/>
        <v>0</v>
      </c>
      <c r="V1199" s="20"/>
    </row>
    <row r="1200" spans="1:22" ht="14.4">
      <c r="A1200" s="388" t="s">
        <v>1661</v>
      </c>
      <c r="B1200" s="2" t="s">
        <v>78</v>
      </c>
      <c r="C1200" s="399">
        <v>220</v>
      </c>
      <c r="D1200" s="406">
        <v>300</v>
      </c>
      <c r="E1200" s="399">
        <v>85</v>
      </c>
      <c r="F1200" s="399">
        <v>77</v>
      </c>
      <c r="G1200" s="21">
        <f t="shared" si="112"/>
        <v>5.3460000000000001</v>
      </c>
      <c r="H1200" s="20">
        <f t="shared" si="113"/>
        <v>5.61</v>
      </c>
      <c r="I1200" s="20">
        <f t="shared" si="114"/>
        <v>5.3460000000000001</v>
      </c>
      <c r="J1200" s="20">
        <f t="shared" si="115"/>
        <v>3.2610000000000001</v>
      </c>
      <c r="K1200" s="75"/>
      <c r="L1200" s="767"/>
      <c r="M1200" s="20"/>
      <c r="N1200" s="20"/>
      <c r="O1200" s="20"/>
      <c r="P1200" s="20"/>
      <c r="Q1200" s="21"/>
      <c r="R1200" s="22" t="s">
        <v>16</v>
      </c>
      <c r="S1200" s="22" t="s">
        <v>16</v>
      </c>
      <c r="T1200" s="20"/>
      <c r="U1200" s="22">
        <f t="shared" si="111"/>
        <v>0</v>
      </c>
      <c r="V1200" s="20"/>
    </row>
    <row r="1201" spans="1:22" ht="14.4">
      <c r="A1201" s="388" t="s">
        <v>1662</v>
      </c>
      <c r="B1201" s="2" t="s">
        <v>78</v>
      </c>
      <c r="C1201" s="399">
        <v>220</v>
      </c>
      <c r="D1201" s="406">
        <v>300</v>
      </c>
      <c r="E1201" s="399">
        <v>65</v>
      </c>
      <c r="F1201" s="399">
        <v>60</v>
      </c>
      <c r="G1201" s="21">
        <f t="shared" si="112"/>
        <v>4.125</v>
      </c>
      <c r="H1201" s="20">
        <f t="shared" si="113"/>
        <v>4.29</v>
      </c>
      <c r="I1201" s="20">
        <f t="shared" si="114"/>
        <v>4.125</v>
      </c>
      <c r="J1201" s="20">
        <f t="shared" si="115"/>
        <v>2.4089999999999998</v>
      </c>
      <c r="K1201" s="75"/>
      <c r="L1201" s="767"/>
      <c r="M1201" s="20"/>
      <c r="N1201" s="20"/>
      <c r="O1201" s="20"/>
      <c r="P1201" s="20"/>
      <c r="Q1201" s="21"/>
      <c r="R1201" s="22" t="s">
        <v>16</v>
      </c>
      <c r="S1201" s="22" t="s">
        <v>16</v>
      </c>
      <c r="T1201" s="20"/>
      <c r="U1201" s="22">
        <f t="shared" si="111"/>
        <v>0</v>
      </c>
      <c r="V1201" s="20"/>
    </row>
    <row r="1202" spans="1:22" ht="14.4">
      <c r="A1202" s="390" t="s">
        <v>1663</v>
      </c>
      <c r="B1202" s="2" t="s">
        <v>78</v>
      </c>
      <c r="C1202" s="400">
        <v>250</v>
      </c>
      <c r="D1202" s="408">
        <v>300</v>
      </c>
      <c r="E1202" s="400">
        <v>85</v>
      </c>
      <c r="F1202" s="400">
        <v>77</v>
      </c>
      <c r="G1202" s="21">
        <f t="shared" si="112"/>
        <v>6.0750000000000002</v>
      </c>
      <c r="H1202" s="20">
        <f t="shared" si="113"/>
        <v>6.375</v>
      </c>
      <c r="I1202" s="20">
        <f t="shared" si="114"/>
        <v>6.0750000000000002</v>
      </c>
      <c r="J1202" s="20">
        <f t="shared" si="115"/>
        <v>3.706</v>
      </c>
      <c r="K1202" s="75"/>
      <c r="L1202" s="767"/>
      <c r="M1202" s="20"/>
      <c r="N1202" s="20"/>
      <c r="O1202" s="20"/>
      <c r="P1202" s="20"/>
      <c r="Q1202" s="21"/>
      <c r="R1202" s="22" t="s">
        <v>16</v>
      </c>
      <c r="S1202" s="22" t="s">
        <v>16</v>
      </c>
      <c r="T1202" s="20"/>
      <c r="U1202" s="22">
        <f t="shared" si="111"/>
        <v>0</v>
      </c>
      <c r="V1202" s="20"/>
    </row>
    <row r="1203" spans="1:22" ht="14.4">
      <c r="A1203" s="390" t="s">
        <v>1664</v>
      </c>
      <c r="B1203" s="2" t="s">
        <v>78</v>
      </c>
      <c r="C1203" s="400">
        <v>250</v>
      </c>
      <c r="D1203" s="408">
        <v>300</v>
      </c>
      <c r="E1203" s="400">
        <v>65</v>
      </c>
      <c r="F1203" s="400">
        <v>60</v>
      </c>
      <c r="G1203" s="21">
        <f t="shared" si="112"/>
        <v>4.6875</v>
      </c>
      <c r="H1203" s="20">
        <f t="shared" si="113"/>
        <v>4.875</v>
      </c>
      <c r="I1203" s="20">
        <f t="shared" si="114"/>
        <v>4.6879999999999997</v>
      </c>
      <c r="J1203" s="20">
        <f t="shared" si="115"/>
        <v>2.738</v>
      </c>
      <c r="K1203" s="75"/>
      <c r="L1203" s="767"/>
      <c r="M1203" s="20"/>
      <c r="N1203" s="20"/>
      <c r="O1203" s="20"/>
      <c r="P1203" s="20"/>
      <c r="Q1203" s="21"/>
      <c r="R1203" s="22" t="s">
        <v>16</v>
      </c>
      <c r="S1203" s="22" t="s">
        <v>16</v>
      </c>
      <c r="T1203" s="20"/>
      <c r="U1203" s="22">
        <f t="shared" si="111"/>
        <v>0</v>
      </c>
      <c r="V1203" s="20"/>
    </row>
    <row r="1204" spans="1:22" ht="14.4">
      <c r="A1204" s="391" t="s">
        <v>1665</v>
      </c>
      <c r="B1204" s="2" t="s">
        <v>78</v>
      </c>
      <c r="C1204" s="401">
        <v>300</v>
      </c>
      <c r="D1204" s="407">
        <v>300</v>
      </c>
      <c r="E1204" s="401">
        <v>85</v>
      </c>
      <c r="F1204" s="401">
        <v>77</v>
      </c>
      <c r="G1204" s="21">
        <f t="shared" si="112"/>
        <v>7.29</v>
      </c>
      <c r="H1204" s="20">
        <f t="shared" si="113"/>
        <v>7.65</v>
      </c>
      <c r="I1204" s="20">
        <f t="shared" si="114"/>
        <v>7.29</v>
      </c>
      <c r="J1204" s="20">
        <f t="shared" si="115"/>
        <v>4.4470000000000001</v>
      </c>
      <c r="K1204" s="75"/>
      <c r="L1204" s="767"/>
      <c r="M1204" s="20"/>
      <c r="N1204" s="20"/>
      <c r="O1204" s="20"/>
      <c r="P1204" s="20"/>
      <c r="Q1204" s="21"/>
      <c r="R1204" s="22" t="s">
        <v>16</v>
      </c>
      <c r="S1204" s="22" t="s">
        <v>16</v>
      </c>
      <c r="T1204" s="20"/>
      <c r="U1204" s="22">
        <f t="shared" si="111"/>
        <v>0</v>
      </c>
      <c r="V1204" s="20"/>
    </row>
    <row r="1205" spans="1:22" ht="15" thickBot="1">
      <c r="A1205" s="393" t="s">
        <v>1666</v>
      </c>
      <c r="B1205" s="2" t="s">
        <v>78</v>
      </c>
      <c r="C1205" s="402">
        <v>300</v>
      </c>
      <c r="D1205" s="411">
        <v>300</v>
      </c>
      <c r="E1205" s="402">
        <v>65</v>
      </c>
      <c r="F1205" s="402">
        <v>60</v>
      </c>
      <c r="G1205" s="21">
        <f t="shared" si="112"/>
        <v>5.625</v>
      </c>
      <c r="H1205" s="20">
        <f t="shared" si="113"/>
        <v>5.85</v>
      </c>
      <c r="I1205" s="20">
        <f t="shared" si="114"/>
        <v>5.625</v>
      </c>
      <c r="J1205" s="20">
        <f t="shared" si="115"/>
        <v>3.2850000000000001</v>
      </c>
      <c r="K1205" s="75"/>
      <c r="L1205" s="767"/>
      <c r="M1205" s="20"/>
      <c r="N1205" s="20"/>
      <c r="O1205" s="20"/>
      <c r="P1205" s="20"/>
      <c r="Q1205" s="21"/>
      <c r="R1205" s="22" t="s">
        <v>16</v>
      </c>
      <c r="S1205" s="22" t="s">
        <v>16</v>
      </c>
      <c r="T1205" s="20"/>
      <c r="U1205" s="22">
        <f t="shared" si="111"/>
        <v>0</v>
      </c>
      <c r="V1205" s="20"/>
    </row>
    <row r="1206" spans="1:22" ht="13.8" thickBot="1">
      <c r="A1206" s="293"/>
      <c r="B1206" s="2" t="s">
        <v>78</v>
      </c>
      <c r="G1206" s="21" t="str">
        <f t="shared" si="116"/>
        <v>-</v>
      </c>
      <c r="H1206" s="20">
        <f t="shared" si="113"/>
        <v>0</v>
      </c>
      <c r="I1206" s="20" t="str">
        <f t="shared" si="114"/>
        <v>-</v>
      </c>
      <c r="J1206" s="20" t="str">
        <f t="shared" si="115"/>
        <v>-</v>
      </c>
      <c r="K1206" s="75"/>
      <c r="L1206" s="767"/>
      <c r="M1206" s="20"/>
      <c r="N1206" s="20"/>
      <c r="O1206" s="20"/>
      <c r="P1206" s="20"/>
      <c r="Q1206" s="21"/>
      <c r="R1206" s="22" t="s">
        <v>16</v>
      </c>
      <c r="S1206" s="22" t="s">
        <v>16</v>
      </c>
      <c r="T1206" s="20"/>
      <c r="U1206" s="22">
        <f t="shared" si="111"/>
        <v>0</v>
      </c>
      <c r="V1206" s="20"/>
    </row>
    <row r="1207" spans="1:22" ht="14.4">
      <c r="A1207" s="386" t="s">
        <v>1667</v>
      </c>
      <c r="B1207" s="2" t="s">
        <v>78</v>
      </c>
      <c r="C1207" s="396">
        <v>160</v>
      </c>
      <c r="D1207" s="415">
        <v>250</v>
      </c>
      <c r="E1207" s="396">
        <v>85</v>
      </c>
      <c r="F1207" s="396">
        <v>77</v>
      </c>
      <c r="G1207" s="21">
        <f t="shared" si="112"/>
        <v>3.24</v>
      </c>
      <c r="H1207" s="20">
        <f t="shared" si="113"/>
        <v>3.4</v>
      </c>
      <c r="I1207" s="20">
        <f t="shared" si="114"/>
        <v>3.24</v>
      </c>
      <c r="J1207" s="20">
        <f t="shared" si="115"/>
        <v>2.0640000000000001</v>
      </c>
      <c r="K1207" s="75"/>
      <c r="L1207" s="767"/>
      <c r="M1207" s="20"/>
      <c r="N1207" s="20"/>
      <c r="O1207" s="20"/>
      <c r="P1207" s="20"/>
      <c r="Q1207" s="21"/>
      <c r="R1207" s="22" t="s">
        <v>16</v>
      </c>
      <c r="S1207" s="22" t="s">
        <v>16</v>
      </c>
      <c r="T1207" s="20"/>
      <c r="U1207" s="22">
        <f t="shared" si="111"/>
        <v>0</v>
      </c>
      <c r="V1207" s="20"/>
    </row>
    <row r="1208" spans="1:22" ht="14.4">
      <c r="A1208" s="392" t="s">
        <v>1668</v>
      </c>
      <c r="B1208" s="2" t="s">
        <v>78</v>
      </c>
      <c r="C1208" s="397">
        <v>160</v>
      </c>
      <c r="D1208" s="404">
        <v>250</v>
      </c>
      <c r="E1208" s="397">
        <v>65</v>
      </c>
      <c r="F1208" s="397">
        <v>60</v>
      </c>
      <c r="G1208" s="21">
        <f t="shared" si="112"/>
        <v>2.5</v>
      </c>
      <c r="H1208" s="20">
        <f t="shared" si="113"/>
        <v>2.6</v>
      </c>
      <c r="I1208" s="20">
        <f t="shared" si="114"/>
        <v>2.5</v>
      </c>
      <c r="J1208" s="20">
        <f t="shared" si="115"/>
        <v>1.512</v>
      </c>
      <c r="K1208" s="75"/>
      <c r="L1208" s="767"/>
      <c r="M1208" s="20"/>
      <c r="N1208" s="20"/>
      <c r="O1208" s="20"/>
      <c r="P1208" s="20"/>
      <c r="Q1208" s="21"/>
      <c r="R1208" s="22" t="s">
        <v>16</v>
      </c>
      <c r="S1208" s="22" t="s">
        <v>16</v>
      </c>
      <c r="T1208" s="20"/>
      <c r="U1208" s="22">
        <f t="shared" si="111"/>
        <v>0</v>
      </c>
      <c r="V1208" s="20"/>
    </row>
    <row r="1209" spans="1:22" ht="14.4">
      <c r="A1209" s="385" t="s">
        <v>1669</v>
      </c>
      <c r="B1209" s="2" t="s">
        <v>78</v>
      </c>
      <c r="C1209" s="394">
        <v>180</v>
      </c>
      <c r="D1209" s="403">
        <v>250</v>
      </c>
      <c r="E1209" s="394">
        <v>85</v>
      </c>
      <c r="F1209" s="394">
        <v>77</v>
      </c>
      <c r="G1209" s="21">
        <f t="shared" si="112"/>
        <v>3.645</v>
      </c>
      <c r="H1209" s="20">
        <f t="shared" si="113"/>
        <v>3.8250000000000002</v>
      </c>
      <c r="I1209" s="20">
        <f t="shared" si="114"/>
        <v>3.645</v>
      </c>
      <c r="J1209" s="20">
        <f t="shared" si="115"/>
        <v>2.3220000000000001</v>
      </c>
      <c r="K1209" s="75"/>
      <c r="L1209" s="767"/>
      <c r="M1209" s="20"/>
      <c r="N1209" s="20"/>
      <c r="O1209" s="20"/>
      <c r="P1209" s="20"/>
      <c r="Q1209" s="21"/>
      <c r="R1209" s="22" t="s">
        <v>16</v>
      </c>
      <c r="S1209" s="22" t="s">
        <v>16</v>
      </c>
      <c r="T1209" s="20"/>
      <c r="U1209" s="22">
        <f t="shared" si="111"/>
        <v>0</v>
      </c>
      <c r="V1209" s="20"/>
    </row>
    <row r="1210" spans="1:22" ht="14.4">
      <c r="A1210" s="385" t="s">
        <v>1670</v>
      </c>
      <c r="B1210" s="2" t="s">
        <v>78</v>
      </c>
      <c r="C1210" s="394">
        <v>180</v>
      </c>
      <c r="D1210" s="403">
        <v>250</v>
      </c>
      <c r="E1210" s="394">
        <v>65</v>
      </c>
      <c r="F1210" s="394">
        <v>60</v>
      </c>
      <c r="G1210" s="21">
        <f t="shared" si="112"/>
        <v>2.8125</v>
      </c>
      <c r="H1210" s="20">
        <f t="shared" si="113"/>
        <v>2.9249999999999998</v>
      </c>
      <c r="I1210" s="20">
        <f t="shared" si="114"/>
        <v>2.8130000000000002</v>
      </c>
      <c r="J1210" s="20">
        <f t="shared" si="115"/>
        <v>1.7010000000000001</v>
      </c>
      <c r="K1210" s="75"/>
      <c r="L1210" s="767"/>
      <c r="M1210" s="20"/>
      <c r="N1210" s="20"/>
      <c r="O1210" s="20"/>
      <c r="P1210" s="20"/>
      <c r="Q1210" s="21"/>
      <c r="R1210" s="22" t="s">
        <v>16</v>
      </c>
      <c r="S1210" s="22" t="s">
        <v>16</v>
      </c>
      <c r="T1210" s="20"/>
      <c r="U1210" s="22">
        <f t="shared" si="111"/>
        <v>0</v>
      </c>
      <c r="V1210" s="20"/>
    </row>
    <row r="1211" spans="1:22" ht="14.4">
      <c r="A1211" s="389" t="s">
        <v>1671</v>
      </c>
      <c r="B1211" s="2" t="s">
        <v>78</v>
      </c>
      <c r="C1211" s="395">
        <v>200</v>
      </c>
      <c r="D1211" s="405">
        <v>250</v>
      </c>
      <c r="E1211" s="395">
        <v>85</v>
      </c>
      <c r="F1211" s="395">
        <v>77</v>
      </c>
      <c r="G1211" s="21">
        <f t="shared" si="112"/>
        <v>4.05</v>
      </c>
      <c r="H1211" s="20">
        <f t="shared" si="113"/>
        <v>4.25</v>
      </c>
      <c r="I1211" s="20">
        <f t="shared" si="114"/>
        <v>4.05</v>
      </c>
      <c r="J1211" s="20">
        <f t="shared" si="115"/>
        <v>2.58</v>
      </c>
      <c r="K1211" s="75"/>
      <c r="L1211" s="767"/>
      <c r="M1211" s="20"/>
      <c r="N1211" s="20"/>
      <c r="O1211" s="20"/>
      <c r="P1211" s="20"/>
      <c r="Q1211" s="21"/>
      <c r="R1211" s="22" t="s">
        <v>16</v>
      </c>
      <c r="S1211" s="22" t="s">
        <v>16</v>
      </c>
      <c r="T1211" s="20"/>
      <c r="U1211" s="22">
        <f t="shared" si="111"/>
        <v>0</v>
      </c>
      <c r="V1211" s="20"/>
    </row>
    <row r="1212" spans="1:22" ht="14.4">
      <c r="A1212" s="389" t="s">
        <v>1672</v>
      </c>
      <c r="B1212" s="2" t="s">
        <v>78</v>
      </c>
      <c r="C1212" s="395">
        <v>200</v>
      </c>
      <c r="D1212" s="405">
        <v>250</v>
      </c>
      <c r="E1212" s="395">
        <v>65</v>
      </c>
      <c r="F1212" s="395">
        <v>60</v>
      </c>
      <c r="G1212" s="21">
        <f t="shared" si="112"/>
        <v>3.125</v>
      </c>
      <c r="H1212" s="20">
        <f t="shared" si="113"/>
        <v>3.25</v>
      </c>
      <c r="I1212" s="20">
        <f t="shared" si="114"/>
        <v>3.125</v>
      </c>
      <c r="J1212" s="20">
        <f t="shared" si="115"/>
        <v>1.89</v>
      </c>
      <c r="K1212" s="75"/>
      <c r="L1212" s="767"/>
      <c r="M1212" s="20"/>
      <c r="N1212" s="20"/>
      <c r="O1212" s="20"/>
      <c r="P1212" s="20"/>
      <c r="Q1212" s="21"/>
      <c r="R1212" s="22" t="s">
        <v>16</v>
      </c>
      <c r="S1212" s="22" t="s">
        <v>16</v>
      </c>
      <c r="T1212" s="20"/>
      <c r="U1212" s="22">
        <f t="shared" si="111"/>
        <v>0</v>
      </c>
      <c r="V1212" s="20"/>
    </row>
    <row r="1213" spans="1:22" ht="14.4">
      <c r="A1213" s="388" t="s">
        <v>1673</v>
      </c>
      <c r="B1213" s="2" t="s">
        <v>78</v>
      </c>
      <c r="C1213" s="399">
        <v>220</v>
      </c>
      <c r="D1213" s="406">
        <v>250</v>
      </c>
      <c r="E1213" s="399">
        <v>85</v>
      </c>
      <c r="F1213" s="399">
        <v>77</v>
      </c>
      <c r="G1213" s="21">
        <f t="shared" si="112"/>
        <v>4.4550000000000001</v>
      </c>
      <c r="H1213" s="20">
        <f t="shared" si="113"/>
        <v>4.6749999999999998</v>
      </c>
      <c r="I1213" s="20">
        <f t="shared" si="114"/>
        <v>4.4550000000000001</v>
      </c>
      <c r="J1213" s="20">
        <f t="shared" si="115"/>
        <v>2.8370000000000002</v>
      </c>
      <c r="K1213" s="75"/>
      <c r="L1213" s="767"/>
      <c r="M1213" s="20"/>
      <c r="N1213" s="20"/>
      <c r="O1213" s="20"/>
      <c r="P1213" s="20"/>
      <c r="Q1213" s="21"/>
      <c r="R1213" s="22" t="s">
        <v>16</v>
      </c>
      <c r="S1213" s="22" t="s">
        <v>16</v>
      </c>
      <c r="T1213" s="20"/>
      <c r="U1213" s="22">
        <f t="shared" si="111"/>
        <v>0</v>
      </c>
      <c r="V1213" s="20"/>
    </row>
    <row r="1214" spans="1:22" ht="14.4">
      <c r="A1214" s="388" t="s">
        <v>1674</v>
      </c>
      <c r="B1214" s="2" t="s">
        <v>78</v>
      </c>
      <c r="C1214" s="399">
        <v>220</v>
      </c>
      <c r="D1214" s="406">
        <v>250</v>
      </c>
      <c r="E1214" s="399">
        <v>65</v>
      </c>
      <c r="F1214" s="399">
        <v>60</v>
      </c>
      <c r="G1214" s="21">
        <f t="shared" si="112"/>
        <v>3.4375</v>
      </c>
      <c r="H1214" s="20">
        <f t="shared" si="113"/>
        <v>3.5750000000000002</v>
      </c>
      <c r="I1214" s="20">
        <f t="shared" si="114"/>
        <v>3.4380000000000002</v>
      </c>
      <c r="J1214" s="20">
        <f t="shared" si="115"/>
        <v>2.0790000000000002</v>
      </c>
      <c r="K1214" s="75"/>
      <c r="L1214" s="767"/>
      <c r="M1214" s="20"/>
      <c r="N1214" s="20"/>
      <c r="O1214" s="20"/>
      <c r="P1214" s="20"/>
      <c r="Q1214" s="21"/>
      <c r="R1214" s="22" t="s">
        <v>16</v>
      </c>
      <c r="S1214" s="22" t="s">
        <v>16</v>
      </c>
      <c r="T1214" s="20"/>
      <c r="U1214" s="22">
        <f t="shared" si="111"/>
        <v>0</v>
      </c>
      <c r="V1214" s="20"/>
    </row>
    <row r="1215" spans="1:22" ht="14.4">
      <c r="A1215" s="390" t="s">
        <v>1675</v>
      </c>
      <c r="B1215" s="2" t="s">
        <v>78</v>
      </c>
      <c r="C1215" s="400">
        <v>250</v>
      </c>
      <c r="D1215" s="408">
        <v>250</v>
      </c>
      <c r="E1215" s="400">
        <v>85</v>
      </c>
      <c r="F1215" s="400">
        <v>77</v>
      </c>
      <c r="G1215" s="21">
        <f t="shared" si="112"/>
        <v>5.0625</v>
      </c>
      <c r="H1215" s="20">
        <f t="shared" si="113"/>
        <v>5.3129999999999997</v>
      </c>
      <c r="I1215" s="20">
        <f t="shared" si="114"/>
        <v>5.0629999999999997</v>
      </c>
      <c r="J1215" s="20">
        <f t="shared" si="115"/>
        <v>3.2240000000000002</v>
      </c>
      <c r="K1215" s="75"/>
      <c r="L1215" s="767"/>
      <c r="M1215" s="20"/>
      <c r="N1215" s="20"/>
      <c r="O1215" s="20"/>
      <c r="P1215" s="20"/>
      <c r="Q1215" s="21"/>
      <c r="R1215" s="22" t="s">
        <v>16</v>
      </c>
      <c r="S1215" s="22" t="s">
        <v>16</v>
      </c>
      <c r="T1215" s="20"/>
      <c r="U1215" s="22">
        <f t="shared" si="111"/>
        <v>0</v>
      </c>
      <c r="V1215" s="20"/>
    </row>
    <row r="1216" spans="1:22" ht="14.4">
      <c r="A1216" s="390" t="s">
        <v>1676</v>
      </c>
      <c r="B1216" s="2" t="s">
        <v>78</v>
      </c>
      <c r="C1216" s="400">
        <v>250</v>
      </c>
      <c r="D1216" s="408">
        <v>250</v>
      </c>
      <c r="E1216" s="400">
        <v>65</v>
      </c>
      <c r="F1216" s="400">
        <v>60</v>
      </c>
      <c r="G1216" s="21">
        <f t="shared" si="112"/>
        <v>3.90625</v>
      </c>
      <c r="H1216" s="20">
        <f t="shared" si="113"/>
        <v>4.0629999999999997</v>
      </c>
      <c r="I1216" s="20">
        <f t="shared" si="114"/>
        <v>3.9060000000000001</v>
      </c>
      <c r="J1216" s="20">
        <f t="shared" si="115"/>
        <v>2.363</v>
      </c>
      <c r="K1216" s="75"/>
      <c r="L1216" s="767"/>
      <c r="M1216" s="20"/>
      <c r="N1216" s="20"/>
      <c r="O1216" s="20"/>
      <c r="P1216" s="20"/>
      <c r="Q1216" s="21"/>
      <c r="R1216" s="22" t="s">
        <v>16</v>
      </c>
      <c r="S1216" s="22" t="s">
        <v>16</v>
      </c>
      <c r="T1216" s="20"/>
      <c r="U1216" s="22">
        <f t="shared" si="111"/>
        <v>0</v>
      </c>
      <c r="V1216" s="20"/>
    </row>
    <row r="1217" spans="1:22" ht="14.4">
      <c r="A1217" s="391" t="s">
        <v>1677</v>
      </c>
      <c r="B1217" s="2" t="s">
        <v>78</v>
      </c>
      <c r="C1217" s="401">
        <v>300</v>
      </c>
      <c r="D1217" s="407">
        <v>250</v>
      </c>
      <c r="E1217" s="401">
        <v>85</v>
      </c>
      <c r="F1217" s="401">
        <v>77</v>
      </c>
      <c r="G1217" s="21">
        <f t="shared" si="112"/>
        <v>6.0750000000000002</v>
      </c>
      <c r="H1217" s="20">
        <f t="shared" si="113"/>
        <v>6.375</v>
      </c>
      <c r="I1217" s="20">
        <f t="shared" si="114"/>
        <v>6.0750000000000002</v>
      </c>
      <c r="J1217" s="20">
        <f t="shared" si="115"/>
        <v>3.8690000000000002</v>
      </c>
      <c r="K1217" s="75"/>
      <c r="L1217" s="767"/>
      <c r="M1217" s="20"/>
      <c r="N1217" s="20"/>
      <c r="O1217" s="20"/>
      <c r="P1217" s="20"/>
      <c r="Q1217" s="21"/>
      <c r="R1217" s="22" t="s">
        <v>16</v>
      </c>
      <c r="S1217" s="22" t="s">
        <v>16</v>
      </c>
      <c r="T1217" s="20"/>
      <c r="U1217" s="22">
        <f t="shared" si="111"/>
        <v>0</v>
      </c>
      <c r="V1217" s="20"/>
    </row>
    <row r="1218" spans="1:22" ht="15" thickBot="1">
      <c r="A1218" s="393" t="s">
        <v>1678</v>
      </c>
      <c r="B1218" s="2" t="s">
        <v>78</v>
      </c>
      <c r="C1218" s="402">
        <v>300</v>
      </c>
      <c r="D1218" s="411">
        <v>250</v>
      </c>
      <c r="E1218" s="402">
        <v>65</v>
      </c>
      <c r="F1218" s="402">
        <v>60</v>
      </c>
      <c r="G1218" s="21">
        <f t="shared" si="112"/>
        <v>4.6875</v>
      </c>
      <c r="H1218" s="20">
        <f t="shared" si="113"/>
        <v>4.875</v>
      </c>
      <c r="I1218" s="20">
        <f t="shared" si="114"/>
        <v>4.6879999999999997</v>
      </c>
      <c r="J1218" s="20">
        <f t="shared" si="115"/>
        <v>2.835</v>
      </c>
      <c r="K1218" s="75"/>
      <c r="L1218" s="767"/>
      <c r="M1218" s="20"/>
      <c r="N1218" s="20"/>
      <c r="O1218" s="20"/>
      <c r="P1218" s="20"/>
      <c r="Q1218" s="21"/>
      <c r="R1218" s="22" t="s">
        <v>16</v>
      </c>
      <c r="S1218" s="22" t="s">
        <v>16</v>
      </c>
      <c r="T1218" s="20"/>
      <c r="U1218" s="22">
        <f t="shared" si="111"/>
        <v>0</v>
      </c>
      <c r="V1218" s="20"/>
    </row>
    <row r="1219" spans="1:22">
      <c r="A1219" s="76"/>
      <c r="G1219" s="21"/>
      <c r="H1219" s="20"/>
      <c r="I1219" s="20"/>
      <c r="J1219" s="20"/>
      <c r="K1219" s="75"/>
      <c r="L1219" s="767"/>
      <c r="M1219" s="20"/>
      <c r="N1219" s="20"/>
      <c r="O1219" s="20"/>
      <c r="P1219" s="20"/>
      <c r="Q1219" s="21"/>
      <c r="R1219" s="22" t="s">
        <v>16</v>
      </c>
      <c r="S1219" s="22" t="s">
        <v>16</v>
      </c>
      <c r="T1219" s="20"/>
      <c r="U1219" s="22">
        <f t="shared" si="111"/>
        <v>0</v>
      </c>
      <c r="V1219" s="20"/>
    </row>
    <row r="1220" spans="1:22" ht="13.8" thickBot="1">
      <c r="A1220" s="76"/>
      <c r="G1220" s="21"/>
      <c r="H1220" s="20"/>
      <c r="I1220" s="20"/>
      <c r="J1220" s="20"/>
      <c r="K1220" s="75"/>
      <c r="L1220" s="767"/>
      <c r="M1220" s="20"/>
      <c r="N1220" s="20"/>
      <c r="O1220" s="20"/>
      <c r="P1220" s="20"/>
      <c r="Q1220" s="21"/>
      <c r="R1220" s="22" t="s">
        <v>16</v>
      </c>
      <c r="S1220" s="22" t="s">
        <v>16</v>
      </c>
      <c r="T1220" s="20"/>
      <c r="U1220" s="22">
        <f t="shared" si="111"/>
        <v>0</v>
      </c>
      <c r="V1220" s="20"/>
    </row>
    <row r="1221" spans="1:22" ht="25.2" thickBot="1">
      <c r="A1221" s="64" t="s">
        <v>1591</v>
      </c>
      <c r="B1221" s="92"/>
      <c r="C1221" s="70"/>
      <c r="D1221" s="70"/>
      <c r="E1221" s="70"/>
      <c r="F1221" s="70"/>
      <c r="G1221" s="105"/>
      <c r="H1221" s="71"/>
      <c r="I1221" s="71"/>
      <c r="J1221" s="71"/>
      <c r="K1221" s="71"/>
      <c r="L1221" s="767"/>
      <c r="M1221" s="20"/>
      <c r="N1221" s="20"/>
      <c r="O1221" s="20"/>
      <c r="P1221" s="20"/>
      <c r="Q1221" s="21"/>
      <c r="R1221" s="22"/>
      <c r="S1221" s="22"/>
      <c r="T1221" s="33"/>
      <c r="U1221" s="22"/>
      <c r="V1221" s="20"/>
    </row>
    <row r="1222" spans="1:22" s="294" customFormat="1" ht="14.4">
      <c r="A1222" s="547">
        <v>1510</v>
      </c>
      <c r="B1222" s="2" t="s">
        <v>77</v>
      </c>
      <c r="C1222" s="548">
        <v>100</v>
      </c>
      <c r="D1222" s="549">
        <v>198</v>
      </c>
      <c r="E1222" s="548">
        <v>103</v>
      </c>
      <c r="F1222" s="548">
        <v>89.2</v>
      </c>
      <c r="G1222" s="21">
        <f t="shared" ref="G1222:G1285" si="117">IF(B1222="","",AVERAGE(E1222:F1222)*D1222*C1222/10^6)</f>
        <v>1.9027799999999999</v>
      </c>
      <c r="H1222" s="20">
        <f t="shared" ref="H1222:H1285" si="118">ROUND(C1222*D1222*E1222/10^6,3)</f>
        <v>2.0390000000000001</v>
      </c>
      <c r="I1222" s="20">
        <f t="shared" ref="I1222:I1285" si="119">IF(F1222="","-",ROUND((E1222+F1222)*C1222/2*D1222/10^6,3))</f>
        <v>1.903</v>
      </c>
      <c r="J1222" s="20">
        <f t="shared" ref="J1222:J1285" si="120">IF(F1222="","-",ROUND((D1222+E1222)*C1222/2*F1222/10^6,3))</f>
        <v>1.3420000000000001</v>
      </c>
      <c r="K1222" s="75"/>
      <c r="L1222" s="767"/>
      <c r="M1222" s="20"/>
      <c r="N1222" s="20"/>
      <c r="O1222" s="20"/>
      <c r="P1222" s="20"/>
      <c r="Q1222" s="21"/>
      <c r="R1222" s="22" t="s">
        <v>16</v>
      </c>
      <c r="S1222" s="22" t="s">
        <v>16</v>
      </c>
      <c r="T1222" s="20"/>
      <c r="U1222" s="22">
        <f t="shared" ref="U1222:U1285" si="121">U1221</f>
        <v>0</v>
      </c>
      <c r="V1222" s="20"/>
    </row>
    <row r="1223" spans="1:22" s="294" customFormat="1" ht="14.4">
      <c r="A1223" s="547">
        <v>210</v>
      </c>
      <c r="B1223" s="2" t="s">
        <v>77</v>
      </c>
      <c r="C1223" s="548">
        <v>100</v>
      </c>
      <c r="D1223" s="549">
        <v>198</v>
      </c>
      <c r="E1223" s="548">
        <v>103</v>
      </c>
      <c r="F1223" s="548">
        <v>92.5</v>
      </c>
      <c r="G1223" s="21">
        <f t="shared" si="117"/>
        <v>1.9354499999999999</v>
      </c>
      <c r="H1223" s="20">
        <f t="shared" si="118"/>
        <v>2.0390000000000001</v>
      </c>
      <c r="I1223" s="20">
        <f t="shared" si="119"/>
        <v>1.9350000000000001</v>
      </c>
      <c r="J1223" s="20">
        <f t="shared" si="120"/>
        <v>1.3919999999999999</v>
      </c>
      <c r="K1223" s="75"/>
      <c r="L1223" s="767"/>
      <c r="M1223" s="20"/>
      <c r="N1223" s="20"/>
      <c r="O1223" s="20"/>
      <c r="P1223" s="20"/>
      <c r="Q1223" s="21"/>
      <c r="R1223" s="22" t="s">
        <v>16</v>
      </c>
      <c r="S1223" s="22" t="s">
        <v>16</v>
      </c>
      <c r="T1223" s="20"/>
      <c r="U1223" s="22">
        <f t="shared" si="121"/>
        <v>0</v>
      </c>
      <c r="V1223" s="20"/>
    </row>
    <row r="1224" spans="1:22" s="294" customFormat="1" ht="14.4">
      <c r="A1224" s="547">
        <v>310</v>
      </c>
      <c r="B1224" s="2" t="s">
        <v>77</v>
      </c>
      <c r="C1224" s="548">
        <v>100</v>
      </c>
      <c r="D1224" s="549">
        <v>198</v>
      </c>
      <c r="E1224" s="548">
        <v>103</v>
      </c>
      <c r="F1224" s="548">
        <v>96</v>
      </c>
      <c r="G1224" s="21">
        <f t="shared" si="117"/>
        <v>1.9701</v>
      </c>
      <c r="H1224" s="20">
        <f t="shared" si="118"/>
        <v>2.0390000000000001</v>
      </c>
      <c r="I1224" s="20">
        <f t="shared" si="119"/>
        <v>1.97</v>
      </c>
      <c r="J1224" s="20">
        <f t="shared" si="120"/>
        <v>1.4450000000000001</v>
      </c>
      <c r="K1224" s="75"/>
      <c r="L1224" s="767"/>
      <c r="M1224" s="20"/>
      <c r="N1224" s="20"/>
      <c r="O1224" s="20"/>
      <c r="P1224" s="20"/>
      <c r="Q1224" s="21"/>
      <c r="R1224" s="22" t="s">
        <v>16</v>
      </c>
      <c r="S1224" s="22" t="s">
        <v>16</v>
      </c>
      <c r="T1224" s="20"/>
      <c r="U1224" s="22">
        <f t="shared" si="121"/>
        <v>0</v>
      </c>
      <c r="V1224" s="20"/>
    </row>
    <row r="1225" spans="1:22" s="294" customFormat="1" ht="14.4">
      <c r="A1225" s="550" t="s">
        <v>2125</v>
      </c>
      <c r="B1225" s="2" t="s">
        <v>77</v>
      </c>
      <c r="C1225" s="548">
        <v>100</v>
      </c>
      <c r="D1225" s="549">
        <v>198</v>
      </c>
      <c r="E1225" s="548">
        <v>71</v>
      </c>
      <c r="F1225" s="548">
        <v>64</v>
      </c>
      <c r="G1225" s="21">
        <f t="shared" si="117"/>
        <v>1.3365</v>
      </c>
      <c r="H1225" s="20">
        <f t="shared" si="118"/>
        <v>1.4059999999999999</v>
      </c>
      <c r="I1225" s="20">
        <f t="shared" si="119"/>
        <v>1.337</v>
      </c>
      <c r="J1225" s="20">
        <f t="shared" si="120"/>
        <v>0.86099999999999999</v>
      </c>
      <c r="K1225" s="75"/>
      <c r="L1225" s="767"/>
      <c r="M1225" s="20"/>
      <c r="N1225" s="20"/>
      <c r="O1225" s="20"/>
      <c r="P1225" s="20"/>
      <c r="Q1225" s="21"/>
      <c r="R1225" s="22" t="s">
        <v>16</v>
      </c>
      <c r="S1225" s="22" t="s">
        <v>16</v>
      </c>
      <c r="T1225" s="20"/>
      <c r="U1225" s="22">
        <f t="shared" si="121"/>
        <v>0</v>
      </c>
      <c r="V1225" s="20"/>
    </row>
    <row r="1226" spans="1:22" s="294" customFormat="1" ht="14.4">
      <c r="A1226" s="550" t="s">
        <v>2126</v>
      </c>
      <c r="B1226" s="2" t="s">
        <v>77</v>
      </c>
      <c r="C1226" s="548">
        <v>100</v>
      </c>
      <c r="D1226" s="549">
        <v>198</v>
      </c>
      <c r="E1226" s="548">
        <v>78</v>
      </c>
      <c r="F1226" s="548">
        <v>71</v>
      </c>
      <c r="G1226" s="21">
        <f t="shared" si="117"/>
        <v>1.4751000000000001</v>
      </c>
      <c r="H1226" s="20">
        <f t="shared" si="118"/>
        <v>1.544</v>
      </c>
      <c r="I1226" s="20">
        <f t="shared" si="119"/>
        <v>1.4750000000000001</v>
      </c>
      <c r="J1226" s="20">
        <f t="shared" si="120"/>
        <v>0.98</v>
      </c>
      <c r="K1226" s="75"/>
      <c r="L1226" s="767"/>
      <c r="M1226" s="20"/>
      <c r="N1226" s="20"/>
      <c r="O1226" s="20"/>
      <c r="P1226" s="20"/>
      <c r="Q1226" s="21"/>
      <c r="R1226" s="22" t="s">
        <v>16</v>
      </c>
      <c r="S1226" s="22" t="s">
        <v>16</v>
      </c>
      <c r="T1226" s="20"/>
      <c r="U1226" s="22">
        <f t="shared" si="121"/>
        <v>0</v>
      </c>
      <c r="V1226" s="20"/>
    </row>
    <row r="1227" spans="1:22" s="294" customFormat="1" ht="14.4">
      <c r="A1227" s="551">
        <v>111</v>
      </c>
      <c r="B1227" s="2" t="s">
        <v>77</v>
      </c>
      <c r="C1227" s="552">
        <v>114</v>
      </c>
      <c r="D1227" s="553">
        <v>198</v>
      </c>
      <c r="E1227" s="552">
        <v>103</v>
      </c>
      <c r="F1227" s="552">
        <v>79.5</v>
      </c>
      <c r="G1227" s="21">
        <f t="shared" si="117"/>
        <v>2.0596950000000001</v>
      </c>
      <c r="H1227" s="20">
        <f t="shared" si="118"/>
        <v>2.3250000000000002</v>
      </c>
      <c r="I1227" s="20">
        <f t="shared" si="119"/>
        <v>2.06</v>
      </c>
      <c r="J1227" s="20">
        <f t="shared" si="120"/>
        <v>1.3640000000000001</v>
      </c>
      <c r="K1227" s="75"/>
      <c r="L1227" s="767"/>
      <c r="M1227" s="20"/>
      <c r="N1227" s="20"/>
      <c r="O1227" s="20"/>
      <c r="P1227" s="20"/>
      <c r="Q1227" s="21"/>
      <c r="R1227" s="22" t="s">
        <v>16</v>
      </c>
      <c r="S1227" s="22" t="s">
        <v>16</v>
      </c>
      <c r="T1227" s="20"/>
      <c r="U1227" s="22">
        <f t="shared" si="121"/>
        <v>0</v>
      </c>
      <c r="V1227" s="20"/>
    </row>
    <row r="1228" spans="1:22" s="294" customFormat="1" ht="14.4">
      <c r="A1228" s="551">
        <v>1511</v>
      </c>
      <c r="B1228" s="2" t="s">
        <v>77</v>
      </c>
      <c r="C1228" s="552">
        <v>114</v>
      </c>
      <c r="D1228" s="553">
        <v>198</v>
      </c>
      <c r="E1228" s="552">
        <v>103</v>
      </c>
      <c r="F1228" s="552">
        <v>87</v>
      </c>
      <c r="G1228" s="21">
        <f t="shared" si="117"/>
        <v>2.1443400000000001</v>
      </c>
      <c r="H1228" s="20">
        <f t="shared" si="118"/>
        <v>2.3250000000000002</v>
      </c>
      <c r="I1228" s="20">
        <f t="shared" si="119"/>
        <v>2.1440000000000001</v>
      </c>
      <c r="J1228" s="20">
        <f t="shared" si="120"/>
        <v>1.4930000000000001</v>
      </c>
      <c r="K1228" s="75"/>
      <c r="L1228" s="767"/>
      <c r="M1228" s="20"/>
      <c r="N1228" s="20"/>
      <c r="O1228" s="20"/>
      <c r="P1228" s="20"/>
      <c r="Q1228" s="21"/>
      <c r="R1228" s="22" t="s">
        <v>16</v>
      </c>
      <c r="S1228" s="22" t="s">
        <v>16</v>
      </c>
      <c r="T1228" s="20"/>
      <c r="U1228" s="22">
        <f t="shared" si="121"/>
        <v>0</v>
      </c>
      <c r="V1228" s="20"/>
    </row>
    <row r="1229" spans="1:22" s="294" customFormat="1" ht="14.4">
      <c r="A1229" s="551">
        <v>211</v>
      </c>
      <c r="B1229" s="2" t="s">
        <v>77</v>
      </c>
      <c r="C1229" s="552">
        <v>114</v>
      </c>
      <c r="D1229" s="553">
        <v>198</v>
      </c>
      <c r="E1229" s="552">
        <v>103</v>
      </c>
      <c r="F1229" s="552">
        <v>91</v>
      </c>
      <c r="G1229" s="21">
        <f t="shared" si="117"/>
        <v>2.1894840000000002</v>
      </c>
      <c r="H1229" s="20">
        <f t="shared" si="118"/>
        <v>2.3250000000000002</v>
      </c>
      <c r="I1229" s="20">
        <f t="shared" si="119"/>
        <v>2.1890000000000001</v>
      </c>
      <c r="J1229" s="20">
        <f t="shared" si="120"/>
        <v>1.5609999999999999</v>
      </c>
      <c r="K1229" s="75"/>
      <c r="L1229" s="767"/>
      <c r="M1229" s="20"/>
      <c r="N1229" s="20"/>
      <c r="O1229" s="20"/>
      <c r="P1229" s="20"/>
      <c r="Q1229" s="21"/>
      <c r="R1229" s="22" t="s">
        <v>16</v>
      </c>
      <c r="S1229" s="22" t="s">
        <v>16</v>
      </c>
      <c r="T1229" s="20"/>
      <c r="U1229" s="22">
        <f t="shared" si="121"/>
        <v>0</v>
      </c>
      <c r="V1229" s="20"/>
    </row>
    <row r="1230" spans="1:22" s="294" customFormat="1" ht="14.4">
      <c r="A1230" s="554">
        <v>311</v>
      </c>
      <c r="B1230" s="2" t="s">
        <v>77</v>
      </c>
      <c r="C1230" s="555">
        <v>114</v>
      </c>
      <c r="D1230" s="556">
        <v>198</v>
      </c>
      <c r="E1230" s="555">
        <v>103</v>
      </c>
      <c r="F1230" s="555">
        <v>95</v>
      </c>
      <c r="G1230" s="21">
        <f t="shared" si="117"/>
        <v>2.2346279999999998</v>
      </c>
      <c r="H1230" s="20">
        <f t="shared" si="118"/>
        <v>2.3250000000000002</v>
      </c>
      <c r="I1230" s="20">
        <f t="shared" si="119"/>
        <v>2.2349999999999999</v>
      </c>
      <c r="J1230" s="20">
        <f t="shared" si="120"/>
        <v>1.63</v>
      </c>
      <c r="K1230" s="75"/>
      <c r="L1230" s="767"/>
      <c r="M1230" s="20"/>
      <c r="N1230" s="20"/>
      <c r="O1230" s="20"/>
      <c r="P1230" s="20"/>
      <c r="Q1230" s="21"/>
      <c r="R1230" s="22" t="s">
        <v>16</v>
      </c>
      <c r="S1230" s="22" t="s">
        <v>16</v>
      </c>
      <c r="T1230" s="20"/>
      <c r="U1230" s="22">
        <f t="shared" si="121"/>
        <v>0</v>
      </c>
      <c r="V1230" s="20"/>
    </row>
    <row r="1231" spans="1:22" s="294" customFormat="1" ht="14.4">
      <c r="A1231" s="554">
        <v>411</v>
      </c>
      <c r="B1231" s="2" t="s">
        <v>77</v>
      </c>
      <c r="C1231" s="555">
        <v>114</v>
      </c>
      <c r="D1231" s="556">
        <v>198</v>
      </c>
      <c r="E1231" s="555">
        <v>103</v>
      </c>
      <c r="F1231" s="555">
        <v>97</v>
      </c>
      <c r="G1231" s="21">
        <f t="shared" si="117"/>
        <v>2.2572000000000001</v>
      </c>
      <c r="H1231" s="20">
        <f t="shared" si="118"/>
        <v>2.3250000000000002</v>
      </c>
      <c r="I1231" s="20">
        <f t="shared" si="119"/>
        <v>2.2570000000000001</v>
      </c>
      <c r="J1231" s="20">
        <f t="shared" si="120"/>
        <v>1.6639999999999999</v>
      </c>
      <c r="K1231" s="75"/>
      <c r="L1231" s="767"/>
      <c r="M1231" s="20"/>
      <c r="N1231" s="20"/>
      <c r="O1231" s="20"/>
      <c r="P1231" s="20"/>
      <c r="Q1231" s="21"/>
      <c r="R1231" s="22" t="s">
        <v>16</v>
      </c>
      <c r="S1231" s="22" t="s">
        <v>16</v>
      </c>
      <c r="T1231" s="20"/>
      <c r="U1231" s="22">
        <f t="shared" si="121"/>
        <v>0</v>
      </c>
      <c r="V1231" s="20"/>
    </row>
    <row r="1232" spans="1:22" s="294" customFormat="1" ht="14.4">
      <c r="A1232" s="554">
        <v>511</v>
      </c>
      <c r="B1232" s="2" t="s">
        <v>77</v>
      </c>
      <c r="C1232" s="555">
        <v>114</v>
      </c>
      <c r="D1232" s="556">
        <v>198</v>
      </c>
      <c r="E1232" s="555">
        <v>103</v>
      </c>
      <c r="F1232" s="555">
        <v>98</v>
      </c>
      <c r="G1232" s="21">
        <f t="shared" si="117"/>
        <v>2.2684859999999998</v>
      </c>
      <c r="H1232" s="20">
        <f t="shared" si="118"/>
        <v>2.3250000000000002</v>
      </c>
      <c r="I1232" s="20">
        <f t="shared" si="119"/>
        <v>2.2679999999999998</v>
      </c>
      <c r="J1232" s="20">
        <f t="shared" si="120"/>
        <v>1.681</v>
      </c>
      <c r="K1232" s="75"/>
      <c r="L1232" s="767"/>
      <c r="M1232" s="20"/>
      <c r="N1232" s="20"/>
      <c r="O1232" s="20"/>
      <c r="P1232" s="20"/>
      <c r="Q1232" s="21"/>
      <c r="R1232" s="22" t="s">
        <v>16</v>
      </c>
      <c r="S1232" s="22" t="s">
        <v>16</v>
      </c>
      <c r="T1232" s="20"/>
      <c r="U1232" s="22">
        <f t="shared" si="121"/>
        <v>0</v>
      </c>
      <c r="V1232" s="20"/>
    </row>
    <row r="1233" spans="1:22" s="294" customFormat="1" ht="14.4">
      <c r="A1233" s="554">
        <v>611</v>
      </c>
      <c r="B1233" s="2" t="s">
        <v>77</v>
      </c>
      <c r="C1233" s="555">
        <v>114</v>
      </c>
      <c r="D1233" s="556">
        <v>198</v>
      </c>
      <c r="E1233" s="555">
        <v>103</v>
      </c>
      <c r="F1233" s="555">
        <v>99</v>
      </c>
      <c r="G1233" s="21">
        <f t="shared" si="117"/>
        <v>2.2797719999999999</v>
      </c>
      <c r="H1233" s="20">
        <f t="shared" si="118"/>
        <v>2.3250000000000002</v>
      </c>
      <c r="I1233" s="20">
        <f t="shared" si="119"/>
        <v>2.2799999999999998</v>
      </c>
      <c r="J1233" s="20">
        <f t="shared" si="120"/>
        <v>1.6990000000000001</v>
      </c>
      <c r="K1233" s="75"/>
      <c r="L1233" s="767"/>
      <c r="M1233" s="20"/>
      <c r="N1233" s="20"/>
      <c r="O1233" s="20"/>
      <c r="P1233" s="20"/>
      <c r="Q1233" s="21"/>
      <c r="R1233" s="22" t="s">
        <v>16</v>
      </c>
      <c r="S1233" s="22" t="s">
        <v>16</v>
      </c>
      <c r="T1233" s="20"/>
      <c r="U1233" s="22">
        <f t="shared" si="121"/>
        <v>0</v>
      </c>
      <c r="V1233" s="20"/>
    </row>
    <row r="1234" spans="1:22" s="294" customFormat="1" ht="14.4">
      <c r="A1234" s="554">
        <v>811</v>
      </c>
      <c r="B1234" s="2" t="s">
        <v>77</v>
      </c>
      <c r="C1234" s="555">
        <v>114</v>
      </c>
      <c r="D1234" s="556">
        <v>198</v>
      </c>
      <c r="E1234" s="555">
        <v>103</v>
      </c>
      <c r="F1234" s="555">
        <v>100</v>
      </c>
      <c r="G1234" s="21">
        <f t="shared" si="117"/>
        <v>2.291058</v>
      </c>
      <c r="H1234" s="20">
        <f t="shared" si="118"/>
        <v>2.3250000000000002</v>
      </c>
      <c r="I1234" s="20">
        <f t="shared" si="119"/>
        <v>2.2909999999999999</v>
      </c>
      <c r="J1234" s="20">
        <f t="shared" si="120"/>
        <v>1.716</v>
      </c>
      <c r="K1234" s="75"/>
      <c r="L1234" s="767"/>
      <c r="M1234" s="20"/>
      <c r="N1234" s="20"/>
      <c r="O1234" s="20"/>
      <c r="P1234" s="20"/>
      <c r="Q1234" s="21"/>
      <c r="R1234" s="22" t="s">
        <v>16</v>
      </c>
      <c r="S1234" s="22" t="s">
        <v>16</v>
      </c>
      <c r="T1234" s="20"/>
      <c r="U1234" s="22">
        <f t="shared" si="121"/>
        <v>0</v>
      </c>
      <c r="V1234" s="20"/>
    </row>
    <row r="1235" spans="1:22" s="294" customFormat="1" ht="14.4">
      <c r="A1235" s="557">
        <v>1512</v>
      </c>
      <c r="B1235" s="2" t="s">
        <v>77</v>
      </c>
      <c r="C1235" s="558">
        <v>120</v>
      </c>
      <c r="D1235" s="559">
        <v>198</v>
      </c>
      <c r="E1235" s="558">
        <v>103</v>
      </c>
      <c r="F1235" s="558">
        <v>86.5</v>
      </c>
      <c r="G1235" s="21">
        <f t="shared" si="117"/>
        <v>2.2512599999999998</v>
      </c>
      <c r="H1235" s="20">
        <f t="shared" si="118"/>
        <v>2.4470000000000001</v>
      </c>
      <c r="I1235" s="20">
        <f t="shared" si="119"/>
        <v>2.2509999999999999</v>
      </c>
      <c r="J1235" s="20">
        <f t="shared" si="120"/>
        <v>1.5620000000000001</v>
      </c>
      <c r="K1235" s="75"/>
      <c r="L1235" s="767"/>
      <c r="M1235" s="20"/>
      <c r="N1235" s="20"/>
      <c r="O1235" s="20"/>
      <c r="P1235" s="20"/>
      <c r="Q1235" s="21"/>
      <c r="R1235" s="22" t="s">
        <v>16</v>
      </c>
      <c r="S1235" s="22" t="s">
        <v>16</v>
      </c>
      <c r="T1235" s="20"/>
      <c r="U1235" s="22">
        <f t="shared" si="121"/>
        <v>0</v>
      </c>
      <c r="V1235" s="20"/>
    </row>
    <row r="1236" spans="1:22" s="294" customFormat="1" ht="14.4">
      <c r="A1236" s="557">
        <v>212</v>
      </c>
      <c r="B1236" s="2" t="s">
        <v>77</v>
      </c>
      <c r="C1236" s="558">
        <v>120</v>
      </c>
      <c r="D1236" s="559">
        <v>198</v>
      </c>
      <c r="E1236" s="558">
        <v>103</v>
      </c>
      <c r="F1236" s="558">
        <v>90.3</v>
      </c>
      <c r="G1236" s="21">
        <f t="shared" si="117"/>
        <v>2.2964039999999999</v>
      </c>
      <c r="H1236" s="20">
        <f t="shared" si="118"/>
        <v>2.4470000000000001</v>
      </c>
      <c r="I1236" s="20">
        <f t="shared" si="119"/>
        <v>2.2959999999999998</v>
      </c>
      <c r="J1236" s="20">
        <f t="shared" si="120"/>
        <v>1.631</v>
      </c>
      <c r="K1236" s="75"/>
      <c r="L1236" s="767"/>
      <c r="M1236" s="20"/>
      <c r="N1236" s="20"/>
      <c r="O1236" s="20"/>
      <c r="P1236" s="20"/>
      <c r="Q1236" s="21"/>
      <c r="R1236" s="22" t="s">
        <v>16</v>
      </c>
      <c r="S1236" s="22" t="s">
        <v>16</v>
      </c>
      <c r="T1236" s="20"/>
      <c r="U1236" s="22">
        <f t="shared" si="121"/>
        <v>0</v>
      </c>
      <c r="V1236" s="20"/>
    </row>
    <row r="1237" spans="1:22" s="294" customFormat="1" ht="14.4">
      <c r="A1237" s="560">
        <v>312</v>
      </c>
      <c r="B1237" s="2" t="s">
        <v>77</v>
      </c>
      <c r="C1237" s="561">
        <v>120</v>
      </c>
      <c r="D1237" s="562">
        <v>198</v>
      </c>
      <c r="E1237" s="561">
        <v>103</v>
      </c>
      <c r="F1237" s="561">
        <v>94.7</v>
      </c>
      <c r="G1237" s="21">
        <f t="shared" si="117"/>
        <v>2.3486760000000002</v>
      </c>
      <c r="H1237" s="20">
        <f t="shared" si="118"/>
        <v>2.4470000000000001</v>
      </c>
      <c r="I1237" s="20">
        <f t="shared" si="119"/>
        <v>2.3490000000000002</v>
      </c>
      <c r="J1237" s="20">
        <f t="shared" si="120"/>
        <v>1.71</v>
      </c>
      <c r="K1237" s="75"/>
      <c r="L1237" s="767"/>
      <c r="M1237" s="20"/>
      <c r="N1237" s="20"/>
      <c r="O1237" s="20"/>
      <c r="P1237" s="20"/>
      <c r="Q1237" s="21"/>
      <c r="R1237" s="22" t="s">
        <v>16</v>
      </c>
      <c r="S1237" s="22" t="s">
        <v>16</v>
      </c>
      <c r="T1237" s="20"/>
      <c r="U1237" s="22">
        <f t="shared" si="121"/>
        <v>0</v>
      </c>
      <c r="V1237" s="20"/>
    </row>
    <row r="1238" spans="1:22" s="294" customFormat="1" ht="14.4">
      <c r="A1238" s="563" t="s">
        <v>2127</v>
      </c>
      <c r="B1238" s="2" t="s">
        <v>77</v>
      </c>
      <c r="C1238" s="561">
        <v>120</v>
      </c>
      <c r="D1238" s="562">
        <v>198</v>
      </c>
      <c r="E1238" s="561">
        <v>71</v>
      </c>
      <c r="F1238" s="561">
        <v>63</v>
      </c>
      <c r="G1238" s="21">
        <f t="shared" si="117"/>
        <v>1.59192</v>
      </c>
      <c r="H1238" s="20">
        <f t="shared" si="118"/>
        <v>1.6870000000000001</v>
      </c>
      <c r="I1238" s="20">
        <f t="shared" si="119"/>
        <v>1.5920000000000001</v>
      </c>
      <c r="J1238" s="20">
        <f t="shared" si="120"/>
        <v>1.0169999999999999</v>
      </c>
      <c r="K1238" s="75"/>
      <c r="L1238" s="767"/>
      <c r="M1238" s="20"/>
      <c r="N1238" s="20"/>
      <c r="O1238" s="20"/>
      <c r="P1238" s="20"/>
      <c r="Q1238" s="21"/>
      <c r="R1238" s="22" t="s">
        <v>16</v>
      </c>
      <c r="S1238" s="22" t="s">
        <v>16</v>
      </c>
      <c r="T1238" s="20"/>
      <c r="U1238" s="22">
        <f t="shared" si="121"/>
        <v>0</v>
      </c>
      <c r="V1238" s="20"/>
    </row>
    <row r="1239" spans="1:22" s="294" customFormat="1" ht="14.4">
      <c r="A1239" s="563" t="s">
        <v>2128</v>
      </c>
      <c r="B1239" s="2" t="s">
        <v>77</v>
      </c>
      <c r="C1239" s="561">
        <v>120</v>
      </c>
      <c r="D1239" s="562">
        <v>198</v>
      </c>
      <c r="E1239" s="561">
        <v>78</v>
      </c>
      <c r="F1239" s="561">
        <v>70</v>
      </c>
      <c r="G1239" s="21">
        <f t="shared" si="117"/>
        <v>1.75824</v>
      </c>
      <c r="H1239" s="20">
        <f t="shared" si="118"/>
        <v>1.853</v>
      </c>
      <c r="I1239" s="20">
        <f t="shared" si="119"/>
        <v>1.758</v>
      </c>
      <c r="J1239" s="20">
        <f t="shared" si="120"/>
        <v>1.159</v>
      </c>
      <c r="K1239" s="75"/>
      <c r="L1239" s="767"/>
      <c r="M1239" s="20"/>
      <c r="N1239" s="20"/>
      <c r="O1239" s="20"/>
      <c r="P1239" s="20"/>
      <c r="Q1239" s="21"/>
      <c r="R1239" s="22" t="s">
        <v>16</v>
      </c>
      <c r="S1239" s="22" t="s">
        <v>16</v>
      </c>
      <c r="T1239" s="20"/>
      <c r="U1239" s="22">
        <f t="shared" si="121"/>
        <v>0</v>
      </c>
      <c r="V1239" s="20"/>
    </row>
    <row r="1240" spans="1:22" s="294" customFormat="1" ht="14.4">
      <c r="A1240" s="387">
        <v>1516</v>
      </c>
      <c r="B1240" s="2" t="s">
        <v>77</v>
      </c>
      <c r="C1240" s="398">
        <v>160</v>
      </c>
      <c r="D1240" s="404">
        <v>198</v>
      </c>
      <c r="E1240" s="398">
        <v>103</v>
      </c>
      <c r="F1240" s="398">
        <v>81</v>
      </c>
      <c r="G1240" s="21">
        <f t="shared" si="117"/>
        <v>2.9145599999999998</v>
      </c>
      <c r="H1240" s="20">
        <f t="shared" si="118"/>
        <v>3.2629999999999999</v>
      </c>
      <c r="I1240" s="20">
        <f t="shared" si="119"/>
        <v>2.915</v>
      </c>
      <c r="J1240" s="20">
        <f t="shared" si="120"/>
        <v>1.95</v>
      </c>
      <c r="K1240" s="75"/>
      <c r="L1240" s="767"/>
      <c r="M1240" s="20"/>
      <c r="N1240" s="20"/>
      <c r="O1240" s="20"/>
      <c r="P1240" s="20"/>
      <c r="Q1240" s="21"/>
      <c r="R1240" s="22" t="s">
        <v>16</v>
      </c>
      <c r="S1240" s="22" t="s">
        <v>16</v>
      </c>
      <c r="T1240" s="20"/>
      <c r="U1240" s="22">
        <f t="shared" si="121"/>
        <v>0</v>
      </c>
      <c r="V1240" s="20"/>
    </row>
    <row r="1241" spans="1:22" s="294" customFormat="1" ht="14.4">
      <c r="A1241" s="387">
        <v>216</v>
      </c>
      <c r="B1241" s="2" t="s">
        <v>77</v>
      </c>
      <c r="C1241" s="398">
        <v>160</v>
      </c>
      <c r="D1241" s="404">
        <v>198</v>
      </c>
      <c r="E1241" s="398">
        <v>103</v>
      </c>
      <c r="F1241" s="398">
        <v>86</v>
      </c>
      <c r="G1241" s="21">
        <f t="shared" si="117"/>
        <v>2.99376</v>
      </c>
      <c r="H1241" s="20">
        <f t="shared" si="118"/>
        <v>3.2629999999999999</v>
      </c>
      <c r="I1241" s="20">
        <f t="shared" si="119"/>
        <v>2.9940000000000002</v>
      </c>
      <c r="J1241" s="20">
        <f t="shared" si="120"/>
        <v>2.0710000000000002</v>
      </c>
      <c r="K1241" s="75"/>
      <c r="L1241" s="767"/>
      <c r="M1241" s="20"/>
      <c r="N1241" s="20"/>
      <c r="O1241" s="20"/>
      <c r="P1241" s="20"/>
      <c r="Q1241" s="21"/>
      <c r="R1241" s="22" t="s">
        <v>16</v>
      </c>
      <c r="S1241" s="22" t="s">
        <v>16</v>
      </c>
      <c r="T1241" s="20"/>
      <c r="U1241" s="22">
        <f t="shared" si="121"/>
        <v>0</v>
      </c>
      <c r="V1241" s="20"/>
    </row>
    <row r="1242" spans="1:22" s="294" customFormat="1" ht="14.4">
      <c r="A1242" s="387">
        <v>316</v>
      </c>
      <c r="B1242" s="2" t="s">
        <v>77</v>
      </c>
      <c r="C1242" s="398">
        <v>160</v>
      </c>
      <c r="D1242" s="404">
        <v>198</v>
      </c>
      <c r="E1242" s="398">
        <v>103</v>
      </c>
      <c r="F1242" s="398">
        <v>92</v>
      </c>
      <c r="G1242" s="21">
        <f t="shared" si="117"/>
        <v>3.0888</v>
      </c>
      <c r="H1242" s="20">
        <f t="shared" si="118"/>
        <v>3.2629999999999999</v>
      </c>
      <c r="I1242" s="20">
        <f t="shared" si="119"/>
        <v>3.089</v>
      </c>
      <c r="J1242" s="20">
        <f t="shared" si="120"/>
        <v>2.2149999999999999</v>
      </c>
      <c r="K1242" s="75"/>
      <c r="L1242" s="767"/>
      <c r="M1242" s="20"/>
      <c r="N1242" s="20"/>
      <c r="O1242" s="20"/>
      <c r="P1242" s="20"/>
      <c r="Q1242" s="21"/>
      <c r="R1242" s="22" t="s">
        <v>16</v>
      </c>
      <c r="S1242" s="22" t="s">
        <v>16</v>
      </c>
      <c r="T1242" s="20"/>
      <c r="U1242" s="22">
        <f t="shared" si="121"/>
        <v>0</v>
      </c>
      <c r="V1242" s="20"/>
    </row>
    <row r="1243" spans="1:22" s="294" customFormat="1" ht="14.4">
      <c r="A1243" s="387">
        <v>416</v>
      </c>
      <c r="B1243" s="2" t="s">
        <v>77</v>
      </c>
      <c r="C1243" s="398">
        <v>160</v>
      </c>
      <c r="D1243" s="404">
        <v>198</v>
      </c>
      <c r="E1243" s="398">
        <v>103</v>
      </c>
      <c r="F1243" s="398">
        <v>94.5</v>
      </c>
      <c r="G1243" s="21">
        <f t="shared" si="117"/>
        <v>3.1284000000000001</v>
      </c>
      <c r="H1243" s="20">
        <f t="shared" si="118"/>
        <v>3.2629999999999999</v>
      </c>
      <c r="I1243" s="20">
        <f t="shared" si="119"/>
        <v>3.1280000000000001</v>
      </c>
      <c r="J1243" s="20">
        <f t="shared" si="120"/>
        <v>2.2759999999999998</v>
      </c>
      <c r="K1243" s="75"/>
      <c r="L1243" s="767"/>
      <c r="M1243" s="20"/>
      <c r="N1243" s="20"/>
      <c r="O1243" s="20"/>
      <c r="P1243" s="20"/>
      <c r="Q1243" s="21"/>
      <c r="R1243" s="22" t="s">
        <v>16</v>
      </c>
      <c r="S1243" s="22" t="s">
        <v>16</v>
      </c>
      <c r="T1243" s="20"/>
      <c r="U1243" s="22">
        <f t="shared" si="121"/>
        <v>0</v>
      </c>
      <c r="V1243" s="20"/>
    </row>
    <row r="1244" spans="1:22" s="294" customFormat="1" ht="14.4">
      <c r="A1244" s="387">
        <v>516</v>
      </c>
      <c r="B1244" s="2" t="s">
        <v>77</v>
      </c>
      <c r="C1244" s="398">
        <v>160</v>
      </c>
      <c r="D1244" s="404">
        <v>198</v>
      </c>
      <c r="E1244" s="398">
        <v>103</v>
      </c>
      <c r="F1244" s="398">
        <v>96.5</v>
      </c>
      <c r="G1244" s="21">
        <f t="shared" si="117"/>
        <v>3.1600799999999998</v>
      </c>
      <c r="H1244" s="20">
        <f t="shared" si="118"/>
        <v>3.2629999999999999</v>
      </c>
      <c r="I1244" s="20">
        <f t="shared" si="119"/>
        <v>3.16</v>
      </c>
      <c r="J1244" s="20">
        <f t="shared" si="120"/>
        <v>2.3239999999999998</v>
      </c>
      <c r="K1244" s="75"/>
      <c r="L1244" s="767"/>
      <c r="M1244" s="20"/>
      <c r="N1244" s="20"/>
      <c r="O1244" s="20"/>
      <c r="P1244" s="20"/>
      <c r="Q1244" s="21"/>
      <c r="R1244" s="22" t="s">
        <v>16</v>
      </c>
      <c r="S1244" s="22" t="s">
        <v>16</v>
      </c>
      <c r="T1244" s="20"/>
      <c r="U1244" s="22">
        <f t="shared" si="121"/>
        <v>0</v>
      </c>
      <c r="V1244" s="20"/>
    </row>
    <row r="1245" spans="1:22" s="294" customFormat="1" ht="14.4">
      <c r="A1245" s="387">
        <v>616</v>
      </c>
      <c r="B1245" s="2" t="s">
        <v>77</v>
      </c>
      <c r="C1245" s="398">
        <v>160</v>
      </c>
      <c r="D1245" s="404">
        <v>198</v>
      </c>
      <c r="E1245" s="398">
        <v>103</v>
      </c>
      <c r="F1245" s="398">
        <v>97.5</v>
      </c>
      <c r="G1245" s="21">
        <f t="shared" si="117"/>
        <v>3.1759200000000001</v>
      </c>
      <c r="H1245" s="20">
        <f t="shared" si="118"/>
        <v>3.2629999999999999</v>
      </c>
      <c r="I1245" s="20">
        <f t="shared" si="119"/>
        <v>3.1760000000000002</v>
      </c>
      <c r="J1245" s="20">
        <f t="shared" si="120"/>
        <v>2.3479999999999999</v>
      </c>
      <c r="K1245" s="75"/>
      <c r="L1245" s="767"/>
      <c r="M1245" s="20"/>
      <c r="N1245" s="20"/>
      <c r="O1245" s="20"/>
      <c r="P1245" s="20"/>
      <c r="Q1245" s="21"/>
      <c r="R1245" s="22" t="s">
        <v>16</v>
      </c>
      <c r="S1245" s="22" t="s">
        <v>16</v>
      </c>
      <c r="T1245" s="20"/>
      <c r="U1245" s="22">
        <f t="shared" si="121"/>
        <v>0</v>
      </c>
      <c r="V1245" s="20"/>
    </row>
    <row r="1246" spans="1:22" s="294" customFormat="1" ht="14.4">
      <c r="A1246" s="387">
        <v>716</v>
      </c>
      <c r="B1246" s="2" t="s">
        <v>77</v>
      </c>
      <c r="C1246" s="398">
        <v>160</v>
      </c>
      <c r="D1246" s="404">
        <v>198</v>
      </c>
      <c r="E1246" s="398">
        <v>103</v>
      </c>
      <c r="F1246" s="398">
        <v>98.2</v>
      </c>
      <c r="G1246" s="21">
        <f t="shared" si="117"/>
        <v>3.1870080000000001</v>
      </c>
      <c r="H1246" s="20">
        <f t="shared" si="118"/>
        <v>3.2629999999999999</v>
      </c>
      <c r="I1246" s="20">
        <f t="shared" si="119"/>
        <v>3.1869999999999998</v>
      </c>
      <c r="J1246" s="20">
        <f t="shared" si="120"/>
        <v>2.3650000000000002</v>
      </c>
      <c r="K1246" s="75"/>
      <c r="L1246" s="767"/>
      <c r="M1246" s="20"/>
      <c r="N1246" s="20"/>
      <c r="O1246" s="20"/>
      <c r="P1246" s="20"/>
      <c r="Q1246" s="21"/>
      <c r="R1246" s="22" t="s">
        <v>16</v>
      </c>
      <c r="S1246" s="22" t="s">
        <v>16</v>
      </c>
      <c r="T1246" s="20"/>
      <c r="U1246" s="22">
        <f t="shared" si="121"/>
        <v>0</v>
      </c>
      <c r="V1246" s="20"/>
    </row>
    <row r="1247" spans="1:22" s="294" customFormat="1" ht="14.4">
      <c r="A1247" s="387">
        <v>816</v>
      </c>
      <c r="B1247" s="2" t="s">
        <v>77</v>
      </c>
      <c r="C1247" s="398">
        <v>160</v>
      </c>
      <c r="D1247" s="404">
        <v>198</v>
      </c>
      <c r="E1247" s="398">
        <v>103</v>
      </c>
      <c r="F1247" s="398">
        <v>98.5</v>
      </c>
      <c r="G1247" s="21">
        <f t="shared" si="117"/>
        <v>3.1917599999999999</v>
      </c>
      <c r="H1247" s="20">
        <f t="shared" si="118"/>
        <v>3.2629999999999999</v>
      </c>
      <c r="I1247" s="20">
        <f t="shared" si="119"/>
        <v>3.1920000000000002</v>
      </c>
      <c r="J1247" s="20">
        <f t="shared" si="120"/>
        <v>2.3719999999999999</v>
      </c>
      <c r="K1247" s="75"/>
      <c r="L1247" s="767"/>
      <c r="M1247" s="20"/>
      <c r="N1247" s="20"/>
      <c r="O1247" s="20"/>
      <c r="P1247" s="20"/>
      <c r="Q1247" s="21"/>
      <c r="R1247" s="22" t="s">
        <v>16</v>
      </c>
      <c r="S1247" s="22" t="s">
        <v>16</v>
      </c>
      <c r="T1247" s="20"/>
      <c r="U1247" s="22">
        <f t="shared" si="121"/>
        <v>0</v>
      </c>
      <c r="V1247" s="20"/>
    </row>
    <row r="1248" spans="1:22" s="294" customFormat="1" ht="14.4">
      <c r="A1248" s="387">
        <v>916</v>
      </c>
      <c r="B1248" s="2" t="s">
        <v>77</v>
      </c>
      <c r="C1248" s="398">
        <v>160</v>
      </c>
      <c r="D1248" s="404">
        <v>198</v>
      </c>
      <c r="E1248" s="398">
        <v>103</v>
      </c>
      <c r="F1248" s="398">
        <v>100</v>
      </c>
      <c r="G1248" s="21">
        <f t="shared" si="117"/>
        <v>3.2155200000000002</v>
      </c>
      <c r="H1248" s="20">
        <f t="shared" si="118"/>
        <v>3.2629999999999999</v>
      </c>
      <c r="I1248" s="20">
        <f t="shared" si="119"/>
        <v>3.2160000000000002</v>
      </c>
      <c r="J1248" s="20">
        <f t="shared" si="120"/>
        <v>2.4079999999999999</v>
      </c>
      <c r="K1248" s="75"/>
      <c r="L1248" s="767"/>
      <c r="M1248" s="20"/>
      <c r="N1248" s="20"/>
      <c r="O1248" s="20"/>
      <c r="P1248" s="20"/>
      <c r="Q1248" s="21"/>
      <c r="R1248" s="22" t="s">
        <v>16</v>
      </c>
      <c r="S1248" s="22" t="s">
        <v>16</v>
      </c>
      <c r="T1248" s="20"/>
      <c r="U1248" s="22">
        <f t="shared" si="121"/>
        <v>0</v>
      </c>
      <c r="V1248" s="20"/>
    </row>
    <row r="1249" spans="1:22" s="294" customFormat="1" ht="14.4">
      <c r="A1249" s="564" t="s">
        <v>2129</v>
      </c>
      <c r="B1249" s="2" t="s">
        <v>77</v>
      </c>
      <c r="C1249" s="398">
        <v>160</v>
      </c>
      <c r="D1249" s="404">
        <v>198</v>
      </c>
      <c r="E1249" s="398">
        <v>71</v>
      </c>
      <c r="F1249" s="398">
        <v>63</v>
      </c>
      <c r="G1249" s="21">
        <f t="shared" si="117"/>
        <v>2.12256</v>
      </c>
      <c r="H1249" s="20">
        <f t="shared" si="118"/>
        <v>2.2490000000000001</v>
      </c>
      <c r="I1249" s="20">
        <f t="shared" si="119"/>
        <v>2.1230000000000002</v>
      </c>
      <c r="J1249" s="20">
        <f t="shared" si="120"/>
        <v>1.3560000000000001</v>
      </c>
      <c r="K1249" s="75"/>
      <c r="L1249" s="767"/>
      <c r="M1249" s="20"/>
      <c r="N1249" s="20"/>
      <c r="O1249" s="20"/>
      <c r="P1249" s="20"/>
      <c r="Q1249" s="21"/>
      <c r="R1249" s="22" t="s">
        <v>16</v>
      </c>
      <c r="S1249" s="22" t="s">
        <v>16</v>
      </c>
      <c r="T1249" s="20"/>
      <c r="U1249" s="22">
        <f t="shared" si="121"/>
        <v>0</v>
      </c>
      <c r="V1249" s="20"/>
    </row>
    <row r="1250" spans="1:22" s="294" customFormat="1" ht="14.4">
      <c r="A1250" s="564" t="s">
        <v>2130</v>
      </c>
      <c r="B1250" s="2" t="s">
        <v>77</v>
      </c>
      <c r="C1250" s="398">
        <v>160</v>
      </c>
      <c r="D1250" s="404">
        <v>198</v>
      </c>
      <c r="E1250" s="398">
        <v>78</v>
      </c>
      <c r="F1250" s="398">
        <v>70</v>
      </c>
      <c r="G1250" s="21">
        <f t="shared" si="117"/>
        <v>2.3443200000000002</v>
      </c>
      <c r="H1250" s="20">
        <f t="shared" si="118"/>
        <v>2.4710000000000001</v>
      </c>
      <c r="I1250" s="20">
        <f t="shared" si="119"/>
        <v>2.3439999999999999</v>
      </c>
      <c r="J1250" s="20">
        <f t="shared" si="120"/>
        <v>1.546</v>
      </c>
      <c r="K1250" s="75"/>
      <c r="L1250" s="767"/>
      <c r="M1250" s="20"/>
      <c r="N1250" s="20"/>
      <c r="O1250" s="20"/>
      <c r="P1250" s="20"/>
      <c r="Q1250" s="21"/>
      <c r="R1250" s="22" t="s">
        <v>16</v>
      </c>
      <c r="S1250" s="22" t="s">
        <v>16</v>
      </c>
      <c r="T1250" s="20"/>
      <c r="U1250" s="22">
        <f t="shared" si="121"/>
        <v>0</v>
      </c>
      <c r="V1250" s="20"/>
    </row>
    <row r="1251" spans="1:22" s="294" customFormat="1" ht="14.4">
      <c r="A1251" s="385">
        <v>1518</v>
      </c>
      <c r="B1251" s="2" t="s">
        <v>77</v>
      </c>
      <c r="C1251" s="394">
        <v>180</v>
      </c>
      <c r="D1251" s="403">
        <v>198</v>
      </c>
      <c r="E1251" s="394">
        <v>103</v>
      </c>
      <c r="F1251" s="394">
        <v>78</v>
      </c>
      <c r="G1251" s="21">
        <f t="shared" si="117"/>
        <v>3.2254200000000002</v>
      </c>
      <c r="H1251" s="20">
        <f t="shared" si="118"/>
        <v>3.6709999999999998</v>
      </c>
      <c r="I1251" s="20">
        <f t="shared" si="119"/>
        <v>3.2250000000000001</v>
      </c>
      <c r="J1251" s="20">
        <f t="shared" si="120"/>
        <v>2.113</v>
      </c>
      <c r="K1251" s="75"/>
      <c r="L1251" s="767"/>
      <c r="M1251" s="20"/>
      <c r="N1251" s="20"/>
      <c r="O1251" s="20"/>
      <c r="P1251" s="20"/>
      <c r="Q1251" s="21"/>
      <c r="R1251" s="22" t="s">
        <v>16</v>
      </c>
      <c r="S1251" s="22" t="s">
        <v>16</v>
      </c>
      <c r="T1251" s="20"/>
      <c r="U1251" s="22">
        <f t="shared" si="121"/>
        <v>0</v>
      </c>
      <c r="V1251" s="20"/>
    </row>
    <row r="1252" spans="1:22" s="294" customFormat="1" ht="14.4">
      <c r="A1252" s="385">
        <v>218</v>
      </c>
      <c r="B1252" s="2" t="s">
        <v>77</v>
      </c>
      <c r="C1252" s="394">
        <v>180</v>
      </c>
      <c r="D1252" s="403">
        <v>198</v>
      </c>
      <c r="E1252" s="394">
        <v>103</v>
      </c>
      <c r="F1252" s="394">
        <v>84</v>
      </c>
      <c r="G1252" s="21">
        <f t="shared" si="117"/>
        <v>3.3323399999999999</v>
      </c>
      <c r="H1252" s="20">
        <f t="shared" si="118"/>
        <v>3.6709999999999998</v>
      </c>
      <c r="I1252" s="20">
        <f t="shared" si="119"/>
        <v>3.3319999999999999</v>
      </c>
      <c r="J1252" s="20">
        <f t="shared" si="120"/>
        <v>2.2759999999999998</v>
      </c>
      <c r="K1252" s="75"/>
      <c r="L1252" s="767"/>
      <c r="M1252" s="20"/>
      <c r="N1252" s="20"/>
      <c r="O1252" s="20"/>
      <c r="P1252" s="20"/>
      <c r="Q1252" s="21"/>
      <c r="R1252" s="22" t="s">
        <v>16</v>
      </c>
      <c r="S1252" s="22" t="s">
        <v>16</v>
      </c>
      <c r="T1252" s="20"/>
      <c r="U1252" s="22">
        <f t="shared" si="121"/>
        <v>0</v>
      </c>
      <c r="V1252" s="20"/>
    </row>
    <row r="1253" spans="1:22" s="294" customFormat="1" ht="14.4">
      <c r="A1253" s="385">
        <v>318</v>
      </c>
      <c r="B1253" s="2" t="s">
        <v>77</v>
      </c>
      <c r="C1253" s="394">
        <v>180</v>
      </c>
      <c r="D1253" s="403">
        <v>198</v>
      </c>
      <c r="E1253" s="394">
        <v>103</v>
      </c>
      <c r="F1253" s="394">
        <v>90.5</v>
      </c>
      <c r="G1253" s="21">
        <f t="shared" si="117"/>
        <v>3.4481700000000002</v>
      </c>
      <c r="H1253" s="20">
        <f t="shared" si="118"/>
        <v>3.6709999999999998</v>
      </c>
      <c r="I1253" s="20">
        <f t="shared" si="119"/>
        <v>3.448</v>
      </c>
      <c r="J1253" s="20">
        <f t="shared" si="120"/>
        <v>2.452</v>
      </c>
      <c r="K1253" s="75"/>
      <c r="L1253" s="767"/>
      <c r="M1253" s="20"/>
      <c r="N1253" s="20"/>
      <c r="O1253" s="20"/>
      <c r="P1253" s="20"/>
      <c r="Q1253" s="21"/>
      <c r="R1253" s="22" t="s">
        <v>16</v>
      </c>
      <c r="S1253" s="22" t="s">
        <v>16</v>
      </c>
      <c r="T1253" s="20"/>
      <c r="U1253" s="22">
        <f t="shared" si="121"/>
        <v>0</v>
      </c>
      <c r="V1253" s="20"/>
    </row>
    <row r="1254" spans="1:22" s="294" customFormat="1" ht="14.4">
      <c r="A1254" s="385">
        <v>418</v>
      </c>
      <c r="B1254" s="2" t="s">
        <v>77</v>
      </c>
      <c r="C1254" s="394">
        <v>180</v>
      </c>
      <c r="D1254" s="403">
        <v>198</v>
      </c>
      <c r="E1254" s="394">
        <v>103</v>
      </c>
      <c r="F1254" s="394">
        <v>93.5</v>
      </c>
      <c r="G1254" s="21">
        <f t="shared" si="117"/>
        <v>3.50163</v>
      </c>
      <c r="H1254" s="20">
        <f t="shared" si="118"/>
        <v>3.6709999999999998</v>
      </c>
      <c r="I1254" s="20">
        <f t="shared" si="119"/>
        <v>3.5019999999999998</v>
      </c>
      <c r="J1254" s="20">
        <f t="shared" si="120"/>
        <v>2.5329999999999999</v>
      </c>
      <c r="K1254" s="75"/>
      <c r="L1254" s="767"/>
      <c r="M1254" s="20"/>
      <c r="N1254" s="20"/>
      <c r="O1254" s="20"/>
      <c r="P1254" s="20"/>
      <c r="Q1254" s="21"/>
      <c r="R1254" s="22" t="s">
        <v>16</v>
      </c>
      <c r="S1254" s="22" t="s">
        <v>16</v>
      </c>
      <c r="T1254" s="20"/>
      <c r="U1254" s="22">
        <f t="shared" si="121"/>
        <v>0</v>
      </c>
      <c r="V1254" s="20"/>
    </row>
    <row r="1255" spans="1:22" s="294" customFormat="1" ht="14.4">
      <c r="A1255" s="385">
        <v>518</v>
      </c>
      <c r="B1255" s="2" t="s">
        <v>77</v>
      </c>
      <c r="C1255" s="394">
        <v>180</v>
      </c>
      <c r="D1255" s="403">
        <v>198</v>
      </c>
      <c r="E1255" s="394">
        <v>103</v>
      </c>
      <c r="F1255" s="394">
        <v>95.5</v>
      </c>
      <c r="G1255" s="21">
        <f t="shared" si="117"/>
        <v>3.5372699999999999</v>
      </c>
      <c r="H1255" s="20">
        <f t="shared" si="118"/>
        <v>3.6709999999999998</v>
      </c>
      <c r="I1255" s="20">
        <f t="shared" si="119"/>
        <v>3.5369999999999999</v>
      </c>
      <c r="J1255" s="20">
        <f t="shared" si="120"/>
        <v>2.5870000000000002</v>
      </c>
      <c r="K1255" s="75"/>
      <c r="L1255" s="767"/>
      <c r="M1255" s="20"/>
      <c r="N1255" s="20"/>
      <c r="O1255" s="20"/>
      <c r="P1255" s="20"/>
      <c r="Q1255" s="21"/>
      <c r="R1255" s="22" t="s">
        <v>16</v>
      </c>
      <c r="S1255" s="22" t="s">
        <v>16</v>
      </c>
      <c r="T1255" s="20"/>
      <c r="U1255" s="22">
        <f t="shared" si="121"/>
        <v>0</v>
      </c>
      <c r="V1255" s="20"/>
    </row>
    <row r="1256" spans="1:22" s="294" customFormat="1" ht="14.4">
      <c r="A1256" s="385">
        <v>618</v>
      </c>
      <c r="B1256" s="2" t="s">
        <v>77</v>
      </c>
      <c r="C1256" s="394">
        <v>180</v>
      </c>
      <c r="D1256" s="403">
        <v>198</v>
      </c>
      <c r="E1256" s="394">
        <v>103</v>
      </c>
      <c r="F1256" s="394">
        <v>97</v>
      </c>
      <c r="G1256" s="21">
        <f t="shared" si="117"/>
        <v>3.5640000000000001</v>
      </c>
      <c r="H1256" s="20">
        <f t="shared" si="118"/>
        <v>3.6709999999999998</v>
      </c>
      <c r="I1256" s="20">
        <f t="shared" si="119"/>
        <v>3.5640000000000001</v>
      </c>
      <c r="J1256" s="20">
        <f t="shared" si="120"/>
        <v>2.6280000000000001</v>
      </c>
      <c r="K1256" s="75"/>
      <c r="L1256" s="767"/>
      <c r="M1256" s="20"/>
      <c r="N1256" s="20"/>
      <c r="O1256" s="20"/>
      <c r="P1256" s="20"/>
      <c r="Q1256" s="21"/>
      <c r="R1256" s="22" t="s">
        <v>16</v>
      </c>
      <c r="S1256" s="22" t="s">
        <v>16</v>
      </c>
      <c r="T1256" s="20"/>
      <c r="U1256" s="22">
        <f t="shared" si="121"/>
        <v>0</v>
      </c>
      <c r="V1256" s="20"/>
    </row>
    <row r="1257" spans="1:22" s="294" customFormat="1" ht="14.4">
      <c r="A1257" s="385">
        <v>718</v>
      </c>
      <c r="B1257" s="2" t="s">
        <v>77</v>
      </c>
      <c r="C1257" s="394">
        <v>180</v>
      </c>
      <c r="D1257" s="403">
        <v>198</v>
      </c>
      <c r="E1257" s="394">
        <v>103</v>
      </c>
      <c r="F1257" s="394">
        <v>97.7</v>
      </c>
      <c r="G1257" s="21">
        <f t="shared" si="117"/>
        <v>3.5764740000000002</v>
      </c>
      <c r="H1257" s="20">
        <f t="shared" si="118"/>
        <v>3.6709999999999998</v>
      </c>
      <c r="I1257" s="20">
        <f t="shared" si="119"/>
        <v>3.5760000000000001</v>
      </c>
      <c r="J1257" s="20">
        <f t="shared" si="120"/>
        <v>2.6469999999999998</v>
      </c>
      <c r="K1257" s="75"/>
      <c r="L1257" s="767"/>
      <c r="M1257" s="20"/>
      <c r="N1257" s="20"/>
      <c r="O1257" s="20"/>
      <c r="P1257" s="20"/>
      <c r="Q1257" s="21"/>
      <c r="R1257" s="22" t="s">
        <v>16</v>
      </c>
      <c r="S1257" s="22" t="s">
        <v>16</v>
      </c>
      <c r="T1257" s="20"/>
      <c r="U1257" s="22">
        <f t="shared" si="121"/>
        <v>0</v>
      </c>
      <c r="V1257" s="20"/>
    </row>
    <row r="1258" spans="1:22" s="294" customFormat="1" ht="14.4">
      <c r="A1258" s="385">
        <v>818</v>
      </c>
      <c r="B1258" s="2" t="s">
        <v>77</v>
      </c>
      <c r="C1258" s="394">
        <v>180</v>
      </c>
      <c r="D1258" s="403">
        <v>198</v>
      </c>
      <c r="E1258" s="394">
        <v>103</v>
      </c>
      <c r="F1258" s="394">
        <v>98.5</v>
      </c>
      <c r="G1258" s="21">
        <f t="shared" si="117"/>
        <v>3.5907300000000002</v>
      </c>
      <c r="H1258" s="20">
        <f t="shared" si="118"/>
        <v>3.6709999999999998</v>
      </c>
      <c r="I1258" s="20">
        <f t="shared" si="119"/>
        <v>3.5910000000000002</v>
      </c>
      <c r="J1258" s="20">
        <f t="shared" si="120"/>
        <v>2.6680000000000001</v>
      </c>
      <c r="K1258" s="75"/>
      <c r="L1258" s="767"/>
      <c r="M1258" s="20"/>
      <c r="N1258" s="20"/>
      <c r="O1258" s="20"/>
      <c r="P1258" s="20"/>
      <c r="Q1258" s="21"/>
      <c r="R1258" s="22" t="s">
        <v>16</v>
      </c>
      <c r="S1258" s="22" t="s">
        <v>16</v>
      </c>
      <c r="T1258" s="20"/>
      <c r="U1258" s="22">
        <f t="shared" si="121"/>
        <v>0</v>
      </c>
      <c r="V1258" s="20"/>
    </row>
    <row r="1259" spans="1:22" s="294" customFormat="1" ht="14.4">
      <c r="A1259" s="565" t="s">
        <v>2131</v>
      </c>
      <c r="B1259" s="2" t="s">
        <v>77</v>
      </c>
      <c r="C1259" s="394">
        <v>180</v>
      </c>
      <c r="D1259" s="403">
        <v>198</v>
      </c>
      <c r="E1259" s="394">
        <v>71</v>
      </c>
      <c r="F1259" s="394">
        <v>65</v>
      </c>
      <c r="G1259" s="21">
        <f t="shared" si="117"/>
        <v>2.4235199999999999</v>
      </c>
      <c r="H1259" s="20">
        <f t="shared" si="118"/>
        <v>2.5299999999999998</v>
      </c>
      <c r="I1259" s="20">
        <f t="shared" si="119"/>
        <v>2.4239999999999999</v>
      </c>
      <c r="J1259" s="20">
        <f t="shared" si="120"/>
        <v>1.5740000000000001</v>
      </c>
      <c r="K1259" s="75"/>
      <c r="L1259" s="767"/>
      <c r="M1259" s="20"/>
      <c r="N1259" s="20"/>
      <c r="O1259" s="20"/>
      <c r="P1259" s="20"/>
      <c r="Q1259" s="21"/>
      <c r="R1259" s="22" t="s">
        <v>16</v>
      </c>
      <c r="S1259" s="22" t="s">
        <v>16</v>
      </c>
      <c r="T1259" s="20"/>
      <c r="U1259" s="22">
        <f t="shared" si="121"/>
        <v>0</v>
      </c>
      <c r="V1259" s="20"/>
    </row>
    <row r="1260" spans="1:22" s="294" customFormat="1" ht="14.4">
      <c r="A1260" s="565" t="s">
        <v>2132</v>
      </c>
      <c r="B1260" s="2" t="s">
        <v>77</v>
      </c>
      <c r="C1260" s="394">
        <v>180</v>
      </c>
      <c r="D1260" s="403">
        <v>198</v>
      </c>
      <c r="E1260" s="394">
        <v>78</v>
      </c>
      <c r="F1260" s="394">
        <v>71</v>
      </c>
      <c r="G1260" s="21">
        <f t="shared" si="117"/>
        <v>2.6551800000000001</v>
      </c>
      <c r="H1260" s="20">
        <f t="shared" si="118"/>
        <v>2.78</v>
      </c>
      <c r="I1260" s="20">
        <f t="shared" si="119"/>
        <v>2.6549999999999998</v>
      </c>
      <c r="J1260" s="20">
        <f t="shared" si="120"/>
        <v>1.764</v>
      </c>
      <c r="K1260" s="75"/>
      <c r="L1260" s="767"/>
      <c r="M1260" s="20"/>
      <c r="N1260" s="20"/>
      <c r="O1260" s="20"/>
      <c r="P1260" s="20"/>
      <c r="Q1260" s="21"/>
      <c r="R1260" s="22" t="s">
        <v>16</v>
      </c>
      <c r="S1260" s="22" t="s">
        <v>16</v>
      </c>
      <c r="T1260" s="20"/>
      <c r="U1260" s="22">
        <f t="shared" si="121"/>
        <v>0</v>
      </c>
      <c r="V1260" s="20"/>
    </row>
    <row r="1261" spans="1:22" s="294" customFormat="1" ht="14.4">
      <c r="A1261" s="389">
        <v>1520</v>
      </c>
      <c r="B1261" s="2" t="s">
        <v>77</v>
      </c>
      <c r="C1261" s="395">
        <v>200</v>
      </c>
      <c r="D1261" s="405">
        <v>198</v>
      </c>
      <c r="E1261" s="395">
        <v>103</v>
      </c>
      <c r="F1261" s="395">
        <v>75.5</v>
      </c>
      <c r="G1261" s="21">
        <f t="shared" si="117"/>
        <v>3.5343</v>
      </c>
      <c r="H1261" s="20">
        <f t="shared" si="118"/>
        <v>4.0789999999999997</v>
      </c>
      <c r="I1261" s="20">
        <f t="shared" si="119"/>
        <v>3.5339999999999998</v>
      </c>
      <c r="J1261" s="20">
        <f t="shared" si="120"/>
        <v>2.2730000000000001</v>
      </c>
      <c r="K1261" s="75"/>
      <c r="L1261" s="767"/>
      <c r="M1261" s="20"/>
      <c r="N1261" s="20"/>
      <c r="O1261" s="20"/>
      <c r="P1261" s="20"/>
      <c r="Q1261" s="21"/>
      <c r="R1261" s="22" t="s">
        <v>16</v>
      </c>
      <c r="S1261" s="22" t="s">
        <v>16</v>
      </c>
      <c r="T1261" s="20"/>
      <c r="U1261" s="22">
        <f t="shared" si="121"/>
        <v>0</v>
      </c>
      <c r="V1261" s="20"/>
    </row>
    <row r="1262" spans="1:22" s="294" customFormat="1" ht="14.4">
      <c r="A1262" s="389">
        <v>220</v>
      </c>
      <c r="B1262" s="2" t="s">
        <v>77</v>
      </c>
      <c r="C1262" s="395">
        <v>200</v>
      </c>
      <c r="D1262" s="405">
        <v>198</v>
      </c>
      <c r="E1262" s="395">
        <v>103</v>
      </c>
      <c r="F1262" s="395">
        <v>82</v>
      </c>
      <c r="G1262" s="21">
        <f t="shared" si="117"/>
        <v>3.6629999999999998</v>
      </c>
      <c r="H1262" s="20">
        <f t="shared" si="118"/>
        <v>4.0789999999999997</v>
      </c>
      <c r="I1262" s="20">
        <f t="shared" si="119"/>
        <v>3.6629999999999998</v>
      </c>
      <c r="J1262" s="20">
        <f t="shared" si="120"/>
        <v>2.468</v>
      </c>
      <c r="K1262" s="75"/>
      <c r="L1262" s="767"/>
      <c r="M1262" s="20"/>
      <c r="N1262" s="20"/>
      <c r="O1262" s="20"/>
      <c r="P1262" s="20"/>
      <c r="Q1262" s="21"/>
      <c r="R1262" s="22" t="s">
        <v>16</v>
      </c>
      <c r="S1262" s="22" t="s">
        <v>16</v>
      </c>
      <c r="T1262" s="20"/>
      <c r="U1262" s="22">
        <f t="shared" si="121"/>
        <v>0</v>
      </c>
      <c r="V1262" s="20"/>
    </row>
    <row r="1263" spans="1:22" s="294" customFormat="1" ht="14.4">
      <c r="A1263" s="389">
        <v>320</v>
      </c>
      <c r="B1263" s="2" t="s">
        <v>77</v>
      </c>
      <c r="C1263" s="395">
        <v>200</v>
      </c>
      <c r="D1263" s="405">
        <v>198</v>
      </c>
      <c r="E1263" s="395">
        <v>103</v>
      </c>
      <c r="F1263" s="395">
        <v>89</v>
      </c>
      <c r="G1263" s="21">
        <f t="shared" si="117"/>
        <v>3.8016000000000001</v>
      </c>
      <c r="H1263" s="20">
        <f t="shared" si="118"/>
        <v>4.0789999999999997</v>
      </c>
      <c r="I1263" s="20">
        <f t="shared" si="119"/>
        <v>3.802</v>
      </c>
      <c r="J1263" s="20">
        <f t="shared" si="120"/>
        <v>2.6789999999999998</v>
      </c>
      <c r="K1263" s="75"/>
      <c r="L1263" s="767"/>
      <c r="M1263" s="20"/>
      <c r="N1263" s="20"/>
      <c r="O1263" s="20"/>
      <c r="P1263" s="20"/>
      <c r="Q1263" s="21"/>
      <c r="R1263" s="22" t="s">
        <v>16</v>
      </c>
      <c r="S1263" s="22" t="s">
        <v>16</v>
      </c>
      <c r="T1263" s="20"/>
      <c r="U1263" s="22">
        <f t="shared" si="121"/>
        <v>0</v>
      </c>
      <c r="V1263" s="20"/>
    </row>
    <row r="1264" spans="1:22" s="294" customFormat="1" ht="14.4">
      <c r="A1264" s="389">
        <v>420</v>
      </c>
      <c r="B1264" s="2" t="s">
        <v>77</v>
      </c>
      <c r="C1264" s="395">
        <v>200</v>
      </c>
      <c r="D1264" s="405">
        <v>198</v>
      </c>
      <c r="E1264" s="395">
        <v>103</v>
      </c>
      <c r="F1264" s="395">
        <v>92.5</v>
      </c>
      <c r="G1264" s="21">
        <f t="shared" si="117"/>
        <v>3.8708999999999998</v>
      </c>
      <c r="H1264" s="20">
        <f t="shared" si="118"/>
        <v>4.0789999999999997</v>
      </c>
      <c r="I1264" s="20">
        <f t="shared" si="119"/>
        <v>3.871</v>
      </c>
      <c r="J1264" s="20">
        <f t="shared" si="120"/>
        <v>2.7839999999999998</v>
      </c>
      <c r="K1264" s="75"/>
      <c r="L1264" s="767"/>
      <c r="M1264" s="20"/>
      <c r="N1264" s="20"/>
      <c r="O1264" s="20"/>
      <c r="P1264" s="20"/>
      <c r="Q1264" s="21"/>
      <c r="R1264" s="22" t="s">
        <v>16</v>
      </c>
      <c r="S1264" s="22" t="s">
        <v>16</v>
      </c>
      <c r="T1264" s="20"/>
      <c r="U1264" s="22">
        <f t="shared" si="121"/>
        <v>0</v>
      </c>
      <c r="V1264" s="20"/>
    </row>
    <row r="1265" spans="1:22" s="294" customFormat="1" ht="14.4">
      <c r="A1265" s="389">
        <v>520</v>
      </c>
      <c r="B1265" s="2" t="s">
        <v>77</v>
      </c>
      <c r="C1265" s="395">
        <v>200</v>
      </c>
      <c r="D1265" s="405">
        <v>198</v>
      </c>
      <c r="E1265" s="395">
        <v>103</v>
      </c>
      <c r="F1265" s="395">
        <v>94.7</v>
      </c>
      <c r="G1265" s="21">
        <f t="shared" si="117"/>
        <v>3.9144600000000001</v>
      </c>
      <c r="H1265" s="20">
        <f t="shared" si="118"/>
        <v>4.0789999999999997</v>
      </c>
      <c r="I1265" s="20">
        <f t="shared" si="119"/>
        <v>3.9140000000000001</v>
      </c>
      <c r="J1265" s="20">
        <f t="shared" si="120"/>
        <v>2.85</v>
      </c>
      <c r="K1265" s="75"/>
      <c r="L1265" s="767"/>
      <c r="M1265" s="20"/>
      <c r="N1265" s="20"/>
      <c r="O1265" s="20"/>
      <c r="P1265" s="20"/>
      <c r="Q1265" s="21"/>
      <c r="R1265" s="22" t="s">
        <v>16</v>
      </c>
      <c r="S1265" s="22" t="s">
        <v>16</v>
      </c>
      <c r="T1265" s="20"/>
      <c r="U1265" s="22">
        <f t="shared" si="121"/>
        <v>0</v>
      </c>
      <c r="V1265" s="20"/>
    </row>
    <row r="1266" spans="1:22" s="294" customFormat="1" ht="14.4">
      <c r="A1266" s="389">
        <v>620</v>
      </c>
      <c r="B1266" s="2" t="s">
        <v>77</v>
      </c>
      <c r="C1266" s="395">
        <v>200</v>
      </c>
      <c r="D1266" s="405">
        <v>198</v>
      </c>
      <c r="E1266" s="395">
        <v>103</v>
      </c>
      <c r="F1266" s="395">
        <v>96.2</v>
      </c>
      <c r="G1266" s="21">
        <f t="shared" si="117"/>
        <v>3.9441600000000001</v>
      </c>
      <c r="H1266" s="20">
        <f t="shared" si="118"/>
        <v>4.0789999999999997</v>
      </c>
      <c r="I1266" s="20">
        <f t="shared" si="119"/>
        <v>3.944</v>
      </c>
      <c r="J1266" s="20">
        <f t="shared" si="120"/>
        <v>2.8959999999999999</v>
      </c>
      <c r="K1266" s="75"/>
      <c r="L1266" s="767"/>
      <c r="M1266" s="20"/>
      <c r="N1266" s="20"/>
      <c r="O1266" s="20"/>
      <c r="P1266" s="20"/>
      <c r="Q1266" s="21"/>
      <c r="R1266" s="22" t="s">
        <v>16</v>
      </c>
      <c r="S1266" s="22" t="s">
        <v>16</v>
      </c>
      <c r="T1266" s="20"/>
      <c r="U1266" s="22">
        <f t="shared" si="121"/>
        <v>0</v>
      </c>
      <c r="V1266" s="20"/>
    </row>
    <row r="1267" spans="1:22" s="294" customFormat="1" ht="14.4">
      <c r="A1267" s="389">
        <v>720</v>
      </c>
      <c r="B1267" s="2" t="s">
        <v>77</v>
      </c>
      <c r="C1267" s="395">
        <v>200</v>
      </c>
      <c r="D1267" s="405">
        <v>198</v>
      </c>
      <c r="E1267" s="395">
        <v>103</v>
      </c>
      <c r="F1267" s="395">
        <v>97</v>
      </c>
      <c r="G1267" s="21">
        <f t="shared" si="117"/>
        <v>3.96</v>
      </c>
      <c r="H1267" s="20">
        <f t="shared" si="118"/>
        <v>4.0789999999999997</v>
      </c>
      <c r="I1267" s="20">
        <f t="shared" si="119"/>
        <v>3.96</v>
      </c>
      <c r="J1267" s="20">
        <f t="shared" si="120"/>
        <v>2.92</v>
      </c>
      <c r="K1267" s="75"/>
      <c r="L1267" s="767"/>
      <c r="M1267" s="20"/>
      <c r="N1267" s="20"/>
      <c r="O1267" s="20"/>
      <c r="P1267" s="20"/>
      <c r="Q1267" s="21"/>
      <c r="R1267" s="22" t="s">
        <v>16</v>
      </c>
      <c r="S1267" s="22" t="s">
        <v>16</v>
      </c>
      <c r="T1267" s="20"/>
      <c r="U1267" s="22">
        <f t="shared" si="121"/>
        <v>0</v>
      </c>
      <c r="V1267" s="20"/>
    </row>
    <row r="1268" spans="1:22" s="294" customFormat="1" ht="14.4">
      <c r="A1268" s="389">
        <v>820</v>
      </c>
      <c r="B1268" s="2" t="s">
        <v>77</v>
      </c>
      <c r="C1268" s="395">
        <v>200</v>
      </c>
      <c r="D1268" s="405">
        <v>198</v>
      </c>
      <c r="E1268" s="395">
        <v>103</v>
      </c>
      <c r="F1268" s="395">
        <v>97.8</v>
      </c>
      <c r="G1268" s="21">
        <f t="shared" si="117"/>
        <v>3.9758399999999998</v>
      </c>
      <c r="H1268" s="20">
        <f t="shared" si="118"/>
        <v>4.0789999999999997</v>
      </c>
      <c r="I1268" s="20">
        <f t="shared" si="119"/>
        <v>3.976</v>
      </c>
      <c r="J1268" s="20">
        <f t="shared" si="120"/>
        <v>2.944</v>
      </c>
      <c r="K1268" s="75"/>
      <c r="L1268" s="767"/>
      <c r="M1268" s="20"/>
      <c r="N1268" s="20"/>
      <c r="O1268" s="20"/>
      <c r="P1268" s="20"/>
      <c r="Q1268" s="21"/>
      <c r="R1268" s="22" t="s">
        <v>16</v>
      </c>
      <c r="S1268" s="22" t="s">
        <v>16</v>
      </c>
      <c r="T1268" s="20"/>
      <c r="U1268" s="22">
        <f t="shared" si="121"/>
        <v>0</v>
      </c>
      <c r="V1268" s="20"/>
    </row>
    <row r="1269" spans="1:22" s="294" customFormat="1" ht="14.4">
      <c r="A1269" s="566" t="s">
        <v>2133</v>
      </c>
      <c r="B1269" s="2" t="s">
        <v>77</v>
      </c>
      <c r="C1269" s="395">
        <v>200</v>
      </c>
      <c r="D1269" s="405">
        <v>198</v>
      </c>
      <c r="E1269" s="395">
        <v>71</v>
      </c>
      <c r="F1269" s="395">
        <v>65</v>
      </c>
      <c r="G1269" s="21">
        <f t="shared" si="117"/>
        <v>2.6928000000000001</v>
      </c>
      <c r="H1269" s="20">
        <f t="shared" si="118"/>
        <v>2.8119999999999998</v>
      </c>
      <c r="I1269" s="20">
        <f t="shared" si="119"/>
        <v>2.6930000000000001</v>
      </c>
      <c r="J1269" s="20">
        <f t="shared" si="120"/>
        <v>1.7490000000000001</v>
      </c>
      <c r="K1269" s="75"/>
      <c r="L1269" s="767"/>
      <c r="M1269" s="20"/>
      <c r="N1269" s="20"/>
      <c r="O1269" s="20"/>
      <c r="P1269" s="20"/>
      <c r="Q1269" s="21"/>
      <c r="R1269" s="22" t="s">
        <v>16</v>
      </c>
      <c r="S1269" s="22" t="s">
        <v>16</v>
      </c>
      <c r="T1269" s="20"/>
      <c r="U1269" s="22">
        <f t="shared" si="121"/>
        <v>0</v>
      </c>
      <c r="V1269" s="20"/>
    </row>
    <row r="1270" spans="1:22" s="294" customFormat="1" ht="14.4">
      <c r="A1270" s="566" t="s">
        <v>2134</v>
      </c>
      <c r="B1270" s="2" t="s">
        <v>77</v>
      </c>
      <c r="C1270" s="395">
        <v>200</v>
      </c>
      <c r="D1270" s="405">
        <v>198</v>
      </c>
      <c r="E1270" s="395">
        <v>78</v>
      </c>
      <c r="F1270" s="395">
        <v>71</v>
      </c>
      <c r="G1270" s="21">
        <f t="shared" si="117"/>
        <v>2.9502000000000002</v>
      </c>
      <c r="H1270" s="20">
        <f t="shared" si="118"/>
        <v>3.089</v>
      </c>
      <c r="I1270" s="20">
        <f t="shared" si="119"/>
        <v>2.95</v>
      </c>
      <c r="J1270" s="20">
        <f t="shared" si="120"/>
        <v>1.96</v>
      </c>
      <c r="K1270" s="75"/>
      <c r="L1270" s="767"/>
      <c r="M1270" s="20"/>
      <c r="N1270" s="20"/>
      <c r="O1270" s="20"/>
      <c r="P1270" s="20"/>
      <c r="Q1270" s="21"/>
      <c r="R1270" s="22" t="s">
        <v>16</v>
      </c>
      <c r="S1270" s="22" t="s">
        <v>16</v>
      </c>
      <c r="T1270" s="20"/>
      <c r="U1270" s="22">
        <f t="shared" si="121"/>
        <v>0</v>
      </c>
      <c r="V1270" s="20"/>
    </row>
    <row r="1271" spans="1:22" s="294" customFormat="1" ht="14.4">
      <c r="A1271" s="388">
        <v>1522</v>
      </c>
      <c r="B1271" s="2" t="s">
        <v>77</v>
      </c>
      <c r="C1271" s="399">
        <v>220</v>
      </c>
      <c r="D1271" s="406">
        <v>198</v>
      </c>
      <c r="E1271" s="399">
        <v>103</v>
      </c>
      <c r="F1271" s="399">
        <v>72.5</v>
      </c>
      <c r="G1271" s="21">
        <f t="shared" si="117"/>
        <v>3.82239</v>
      </c>
      <c r="H1271" s="20">
        <f t="shared" si="118"/>
        <v>4.4870000000000001</v>
      </c>
      <c r="I1271" s="20">
        <f t="shared" si="119"/>
        <v>3.8220000000000001</v>
      </c>
      <c r="J1271" s="20">
        <f t="shared" si="120"/>
        <v>2.4</v>
      </c>
      <c r="K1271" s="75"/>
      <c r="L1271" s="767"/>
      <c r="M1271" s="20"/>
      <c r="N1271" s="20"/>
      <c r="O1271" s="20"/>
      <c r="P1271" s="20"/>
      <c r="Q1271" s="21"/>
      <c r="R1271" s="22" t="s">
        <v>16</v>
      </c>
      <c r="S1271" s="22" t="s">
        <v>16</v>
      </c>
      <c r="T1271" s="20"/>
      <c r="U1271" s="22">
        <f t="shared" si="121"/>
        <v>0</v>
      </c>
      <c r="V1271" s="20"/>
    </row>
    <row r="1272" spans="1:22" s="294" customFormat="1" ht="14.4">
      <c r="A1272" s="388">
        <v>222</v>
      </c>
      <c r="B1272" s="2" t="s">
        <v>77</v>
      </c>
      <c r="C1272" s="399">
        <v>220</v>
      </c>
      <c r="D1272" s="406">
        <v>198</v>
      </c>
      <c r="E1272" s="399">
        <v>103</v>
      </c>
      <c r="F1272" s="399">
        <v>80</v>
      </c>
      <c r="G1272" s="21">
        <f t="shared" si="117"/>
        <v>3.9857399999999998</v>
      </c>
      <c r="H1272" s="20">
        <f t="shared" si="118"/>
        <v>4.4870000000000001</v>
      </c>
      <c r="I1272" s="20">
        <f t="shared" si="119"/>
        <v>3.9860000000000002</v>
      </c>
      <c r="J1272" s="20">
        <f t="shared" si="120"/>
        <v>2.649</v>
      </c>
      <c r="K1272" s="75"/>
      <c r="L1272" s="767"/>
      <c r="M1272" s="20"/>
      <c r="N1272" s="20"/>
      <c r="O1272" s="20"/>
      <c r="P1272" s="20"/>
      <c r="Q1272" s="21"/>
      <c r="R1272" s="22" t="s">
        <v>16</v>
      </c>
      <c r="S1272" s="22" t="s">
        <v>16</v>
      </c>
      <c r="T1272" s="20"/>
      <c r="U1272" s="22">
        <f t="shared" si="121"/>
        <v>0</v>
      </c>
      <c r="V1272" s="20"/>
    </row>
    <row r="1273" spans="1:22" s="294" customFormat="1" ht="14.4">
      <c r="A1273" s="388">
        <v>322</v>
      </c>
      <c r="B1273" s="2" t="s">
        <v>77</v>
      </c>
      <c r="C1273" s="399">
        <v>220</v>
      </c>
      <c r="D1273" s="406">
        <v>198</v>
      </c>
      <c r="E1273" s="399">
        <v>103</v>
      </c>
      <c r="F1273" s="399">
        <v>88</v>
      </c>
      <c r="G1273" s="21">
        <f t="shared" si="117"/>
        <v>4.15998</v>
      </c>
      <c r="H1273" s="20">
        <f t="shared" si="118"/>
        <v>4.4870000000000001</v>
      </c>
      <c r="I1273" s="20">
        <f t="shared" si="119"/>
        <v>4.16</v>
      </c>
      <c r="J1273" s="20">
        <f t="shared" si="120"/>
        <v>2.9140000000000001</v>
      </c>
      <c r="K1273" s="75"/>
      <c r="L1273" s="767"/>
      <c r="M1273" s="20"/>
      <c r="N1273" s="20"/>
      <c r="O1273" s="20"/>
      <c r="P1273" s="20"/>
      <c r="Q1273" s="21"/>
      <c r="R1273" s="22" t="s">
        <v>16</v>
      </c>
      <c r="S1273" s="22" t="s">
        <v>16</v>
      </c>
      <c r="T1273" s="20"/>
      <c r="U1273" s="22">
        <f t="shared" si="121"/>
        <v>0</v>
      </c>
      <c r="V1273" s="20"/>
    </row>
    <row r="1274" spans="1:22" s="294" customFormat="1" ht="14.4">
      <c r="A1274" s="388">
        <v>422</v>
      </c>
      <c r="B1274" s="2" t="s">
        <v>77</v>
      </c>
      <c r="C1274" s="399">
        <v>220</v>
      </c>
      <c r="D1274" s="406">
        <v>198</v>
      </c>
      <c r="E1274" s="399">
        <v>103</v>
      </c>
      <c r="F1274" s="399">
        <v>91.5</v>
      </c>
      <c r="G1274" s="21">
        <f t="shared" si="117"/>
        <v>4.2362099999999998</v>
      </c>
      <c r="H1274" s="20">
        <f t="shared" si="118"/>
        <v>4.4870000000000001</v>
      </c>
      <c r="I1274" s="20">
        <f t="shared" si="119"/>
        <v>4.2359999999999998</v>
      </c>
      <c r="J1274" s="20">
        <f t="shared" si="120"/>
        <v>3.03</v>
      </c>
      <c r="K1274" s="75"/>
      <c r="L1274" s="767"/>
      <c r="M1274" s="20"/>
      <c r="N1274" s="20"/>
      <c r="O1274" s="20"/>
      <c r="P1274" s="20"/>
      <c r="Q1274" s="21"/>
      <c r="R1274" s="22" t="s">
        <v>16</v>
      </c>
      <c r="S1274" s="22" t="s">
        <v>16</v>
      </c>
      <c r="T1274" s="20"/>
      <c r="U1274" s="22">
        <f t="shared" si="121"/>
        <v>0</v>
      </c>
      <c r="V1274" s="20"/>
    </row>
    <row r="1275" spans="1:22" s="294" customFormat="1" ht="14.4">
      <c r="A1275" s="388">
        <v>522</v>
      </c>
      <c r="B1275" s="2" t="s">
        <v>77</v>
      </c>
      <c r="C1275" s="399">
        <v>220</v>
      </c>
      <c r="D1275" s="406">
        <v>198</v>
      </c>
      <c r="E1275" s="399">
        <v>103</v>
      </c>
      <c r="F1275" s="399">
        <v>94</v>
      </c>
      <c r="G1275" s="21">
        <f t="shared" si="117"/>
        <v>4.2906599999999999</v>
      </c>
      <c r="H1275" s="20">
        <f t="shared" si="118"/>
        <v>4.4870000000000001</v>
      </c>
      <c r="I1275" s="20">
        <f t="shared" si="119"/>
        <v>4.2910000000000004</v>
      </c>
      <c r="J1275" s="20">
        <f t="shared" si="120"/>
        <v>3.1120000000000001</v>
      </c>
      <c r="K1275" s="75"/>
      <c r="L1275" s="767"/>
      <c r="M1275" s="20"/>
      <c r="N1275" s="20"/>
      <c r="O1275" s="20"/>
      <c r="P1275" s="20"/>
      <c r="Q1275" s="21"/>
      <c r="R1275" s="22" t="s">
        <v>16</v>
      </c>
      <c r="S1275" s="22" t="s">
        <v>16</v>
      </c>
      <c r="T1275" s="20"/>
      <c r="U1275" s="22">
        <f t="shared" si="121"/>
        <v>0</v>
      </c>
      <c r="V1275" s="20"/>
    </row>
    <row r="1276" spans="1:22" s="294" customFormat="1" ht="14.4">
      <c r="A1276" s="388">
        <v>622</v>
      </c>
      <c r="B1276" s="2" t="s">
        <v>77</v>
      </c>
      <c r="C1276" s="399">
        <v>220</v>
      </c>
      <c r="D1276" s="406">
        <v>198</v>
      </c>
      <c r="E1276" s="399">
        <v>103</v>
      </c>
      <c r="F1276" s="399">
        <v>95.5</v>
      </c>
      <c r="G1276" s="21">
        <f t="shared" si="117"/>
        <v>4.3233300000000003</v>
      </c>
      <c r="H1276" s="20">
        <f t="shared" si="118"/>
        <v>4.4870000000000001</v>
      </c>
      <c r="I1276" s="20">
        <f t="shared" si="119"/>
        <v>4.3230000000000004</v>
      </c>
      <c r="J1276" s="20">
        <f t="shared" si="120"/>
        <v>3.1619999999999999</v>
      </c>
      <c r="K1276" s="75"/>
      <c r="L1276" s="767"/>
      <c r="M1276" s="20"/>
      <c r="N1276" s="20"/>
      <c r="O1276" s="20"/>
      <c r="P1276" s="20"/>
      <c r="Q1276" s="21"/>
      <c r="R1276" s="22" t="s">
        <v>16</v>
      </c>
      <c r="S1276" s="22" t="s">
        <v>16</v>
      </c>
      <c r="T1276" s="20"/>
      <c r="U1276" s="22">
        <f t="shared" si="121"/>
        <v>0</v>
      </c>
      <c r="V1276" s="20"/>
    </row>
    <row r="1277" spans="1:22" s="294" customFormat="1" ht="14.4">
      <c r="A1277" s="424">
        <v>722</v>
      </c>
      <c r="B1277" s="2" t="s">
        <v>77</v>
      </c>
      <c r="C1277" s="416">
        <v>220</v>
      </c>
      <c r="D1277" s="417">
        <v>198</v>
      </c>
      <c r="E1277" s="416">
        <v>103</v>
      </c>
      <c r="F1277" s="416">
        <v>96.5</v>
      </c>
      <c r="G1277" s="21">
        <f t="shared" si="117"/>
        <v>4.34511</v>
      </c>
      <c r="H1277" s="20">
        <f t="shared" si="118"/>
        <v>4.4870000000000001</v>
      </c>
      <c r="I1277" s="20">
        <f t="shared" si="119"/>
        <v>4.3449999999999998</v>
      </c>
      <c r="J1277" s="20">
        <f t="shared" si="120"/>
        <v>3.1949999999999998</v>
      </c>
      <c r="K1277" s="75"/>
      <c r="L1277" s="767"/>
      <c r="M1277" s="20"/>
      <c r="N1277" s="20"/>
      <c r="O1277" s="20"/>
      <c r="P1277" s="20"/>
      <c r="Q1277" s="21"/>
      <c r="R1277" s="22" t="s">
        <v>16</v>
      </c>
      <c r="S1277" s="22" t="s">
        <v>16</v>
      </c>
      <c r="T1277" s="20"/>
      <c r="U1277" s="22">
        <f t="shared" si="121"/>
        <v>0</v>
      </c>
      <c r="V1277" s="20"/>
    </row>
    <row r="1278" spans="1:22" s="294" customFormat="1" ht="14.4">
      <c r="A1278" s="388">
        <v>822</v>
      </c>
      <c r="B1278" s="2" t="s">
        <v>77</v>
      </c>
      <c r="C1278" s="399">
        <v>220</v>
      </c>
      <c r="D1278" s="406">
        <v>198</v>
      </c>
      <c r="E1278" s="399">
        <v>103</v>
      </c>
      <c r="F1278" s="399">
        <v>97.3</v>
      </c>
      <c r="G1278" s="21">
        <f t="shared" si="117"/>
        <v>4.3625340000000001</v>
      </c>
      <c r="H1278" s="20">
        <f>ROUND(C1278*D1278*E1278/10^6,3)</f>
        <v>4.4870000000000001</v>
      </c>
      <c r="I1278" s="20">
        <f>IF(F1278="","-",ROUND((E1278+F1278)*C1278/2*D1278/10^6,3))</f>
        <v>4.3630000000000004</v>
      </c>
      <c r="J1278" s="20">
        <f>IF(F1278="","-",ROUND((D1278+E1278)*C1278/2*F1278/10^6,3))</f>
        <v>3.222</v>
      </c>
      <c r="K1278" s="75"/>
      <c r="L1278" s="767"/>
      <c r="M1278" s="20"/>
      <c r="N1278" s="20"/>
      <c r="O1278" s="20"/>
      <c r="P1278" s="20"/>
      <c r="Q1278" s="21"/>
      <c r="R1278" s="22" t="s">
        <v>16</v>
      </c>
      <c r="S1278" s="22" t="s">
        <v>16</v>
      </c>
      <c r="T1278" s="20"/>
      <c r="U1278" s="22">
        <f t="shared" si="121"/>
        <v>0</v>
      </c>
      <c r="V1278" s="20"/>
    </row>
    <row r="1279" spans="1:22" s="294" customFormat="1" ht="14.4">
      <c r="A1279" s="567" t="s">
        <v>2135</v>
      </c>
      <c r="B1279" s="2" t="s">
        <v>77</v>
      </c>
      <c r="C1279" s="399">
        <v>220</v>
      </c>
      <c r="D1279" s="406">
        <v>198</v>
      </c>
      <c r="E1279" s="399">
        <v>71</v>
      </c>
      <c r="F1279" s="399">
        <v>65</v>
      </c>
      <c r="G1279" s="21">
        <f t="shared" si="117"/>
        <v>2.9620799999999998</v>
      </c>
      <c r="H1279" s="20">
        <f t="shared" si="118"/>
        <v>3.093</v>
      </c>
      <c r="I1279" s="20">
        <f t="shared" si="119"/>
        <v>2.9620000000000002</v>
      </c>
      <c r="J1279" s="20">
        <f t="shared" si="120"/>
        <v>1.923</v>
      </c>
      <c r="K1279" s="75"/>
      <c r="L1279" s="767"/>
      <c r="M1279" s="20"/>
      <c r="N1279" s="20"/>
      <c r="O1279" s="20"/>
      <c r="P1279" s="20"/>
      <c r="Q1279" s="21"/>
      <c r="R1279" s="22" t="s">
        <v>16</v>
      </c>
      <c r="S1279" s="22" t="s">
        <v>16</v>
      </c>
      <c r="T1279" s="20"/>
      <c r="U1279" s="22">
        <f t="shared" si="121"/>
        <v>0</v>
      </c>
      <c r="V1279" s="20"/>
    </row>
    <row r="1280" spans="1:22" s="294" customFormat="1" ht="14.4">
      <c r="A1280" s="567" t="s">
        <v>2136</v>
      </c>
      <c r="B1280" s="2" t="s">
        <v>77</v>
      </c>
      <c r="C1280" s="399">
        <v>220</v>
      </c>
      <c r="D1280" s="406">
        <v>198</v>
      </c>
      <c r="E1280" s="399">
        <v>78</v>
      </c>
      <c r="F1280" s="399">
        <v>71</v>
      </c>
      <c r="G1280" s="21">
        <f t="shared" si="117"/>
        <v>3.2452200000000002</v>
      </c>
      <c r="H1280" s="20">
        <f t="shared" si="118"/>
        <v>3.3980000000000001</v>
      </c>
      <c r="I1280" s="20">
        <f t="shared" si="119"/>
        <v>3.2450000000000001</v>
      </c>
      <c r="J1280" s="20">
        <f t="shared" si="120"/>
        <v>2.1560000000000001</v>
      </c>
      <c r="K1280" s="75"/>
      <c r="L1280" s="767"/>
      <c r="M1280" s="20"/>
      <c r="N1280" s="20"/>
      <c r="O1280" s="20"/>
      <c r="P1280" s="20"/>
      <c r="Q1280" s="21"/>
      <c r="R1280" s="22" t="s">
        <v>16</v>
      </c>
      <c r="S1280" s="22" t="s">
        <v>16</v>
      </c>
      <c r="T1280" s="20"/>
      <c r="U1280" s="22">
        <f t="shared" si="121"/>
        <v>0</v>
      </c>
      <c r="V1280" s="20"/>
    </row>
    <row r="1281" spans="1:22" s="294" customFormat="1" ht="14.4">
      <c r="A1281" s="425">
        <v>1523</v>
      </c>
      <c r="B1281" s="2" t="s">
        <v>77</v>
      </c>
      <c r="C1281" s="426">
        <v>230</v>
      </c>
      <c r="D1281" s="419">
        <v>198</v>
      </c>
      <c r="E1281" s="426">
        <v>103</v>
      </c>
      <c r="F1281" s="426">
        <v>71.5</v>
      </c>
      <c r="G1281" s="21">
        <f t="shared" si="117"/>
        <v>3.9733649999999998</v>
      </c>
      <c r="H1281" s="20">
        <f t="shared" si="118"/>
        <v>4.6909999999999998</v>
      </c>
      <c r="I1281" s="20">
        <f t="shared" si="119"/>
        <v>3.9729999999999999</v>
      </c>
      <c r="J1281" s="20">
        <f t="shared" si="120"/>
        <v>2.4750000000000001</v>
      </c>
      <c r="K1281" s="75"/>
      <c r="L1281" s="767"/>
      <c r="M1281" s="20"/>
      <c r="N1281" s="20"/>
      <c r="O1281" s="20"/>
      <c r="P1281" s="20"/>
      <c r="Q1281" s="21"/>
      <c r="R1281" s="22" t="s">
        <v>16</v>
      </c>
      <c r="S1281" s="22" t="s">
        <v>16</v>
      </c>
      <c r="T1281" s="20"/>
      <c r="U1281" s="22">
        <f t="shared" si="121"/>
        <v>0</v>
      </c>
      <c r="V1281" s="20"/>
    </row>
    <row r="1282" spans="1:22" s="294" customFormat="1" ht="14.4">
      <c r="A1282" s="425">
        <v>223</v>
      </c>
      <c r="B1282" s="2" t="s">
        <v>77</v>
      </c>
      <c r="C1282" s="426">
        <v>230</v>
      </c>
      <c r="D1282" s="419">
        <v>198</v>
      </c>
      <c r="E1282" s="426">
        <v>103</v>
      </c>
      <c r="F1282" s="426">
        <v>79.5</v>
      </c>
      <c r="G1282" s="21">
        <f t="shared" si="117"/>
        <v>4.1555249999999999</v>
      </c>
      <c r="H1282" s="20">
        <f t="shared" si="118"/>
        <v>4.6909999999999998</v>
      </c>
      <c r="I1282" s="20">
        <f t="shared" si="119"/>
        <v>4.1559999999999997</v>
      </c>
      <c r="J1282" s="20">
        <f t="shared" si="120"/>
        <v>2.7519999999999998</v>
      </c>
      <c r="K1282" s="75"/>
      <c r="L1282" s="767"/>
      <c r="M1282" s="20"/>
      <c r="N1282" s="20"/>
      <c r="O1282" s="20"/>
      <c r="P1282" s="20"/>
      <c r="Q1282" s="21"/>
      <c r="R1282" s="22" t="s">
        <v>16</v>
      </c>
      <c r="S1282" s="22" t="s">
        <v>16</v>
      </c>
      <c r="T1282" s="20"/>
      <c r="U1282" s="22">
        <f t="shared" si="121"/>
        <v>0</v>
      </c>
      <c r="V1282" s="20"/>
    </row>
    <row r="1283" spans="1:22" s="294" customFormat="1" ht="14.4">
      <c r="A1283" s="425">
        <v>323</v>
      </c>
      <c r="B1283" s="2" t="s">
        <v>77</v>
      </c>
      <c r="C1283" s="426">
        <v>230</v>
      </c>
      <c r="D1283" s="419">
        <v>198</v>
      </c>
      <c r="E1283" s="426">
        <v>103</v>
      </c>
      <c r="F1283" s="426">
        <v>87</v>
      </c>
      <c r="G1283" s="21">
        <f t="shared" si="117"/>
        <v>4.3262999999999998</v>
      </c>
      <c r="H1283" s="20">
        <f t="shared" si="118"/>
        <v>4.6909999999999998</v>
      </c>
      <c r="I1283" s="20">
        <f t="shared" si="119"/>
        <v>4.3259999999999996</v>
      </c>
      <c r="J1283" s="20">
        <f t="shared" si="120"/>
        <v>3.012</v>
      </c>
      <c r="K1283" s="75"/>
      <c r="L1283" s="767"/>
      <c r="M1283" s="20"/>
      <c r="N1283" s="20"/>
      <c r="O1283" s="20"/>
      <c r="P1283" s="20"/>
      <c r="Q1283" s="21"/>
      <c r="R1283" s="22" t="s">
        <v>16</v>
      </c>
      <c r="S1283" s="22" t="s">
        <v>16</v>
      </c>
      <c r="T1283" s="20"/>
      <c r="U1283" s="22">
        <f t="shared" si="121"/>
        <v>0</v>
      </c>
      <c r="V1283" s="20"/>
    </row>
    <row r="1284" spans="1:22" s="294" customFormat="1" ht="14.4">
      <c r="A1284" s="425">
        <v>423</v>
      </c>
      <c r="B1284" s="2" t="s">
        <v>77</v>
      </c>
      <c r="C1284" s="426">
        <v>230</v>
      </c>
      <c r="D1284" s="419">
        <v>198</v>
      </c>
      <c r="E1284" s="426">
        <v>103</v>
      </c>
      <c r="F1284" s="426">
        <v>91</v>
      </c>
      <c r="G1284" s="21">
        <f t="shared" si="117"/>
        <v>4.4173799999999996</v>
      </c>
      <c r="H1284" s="20">
        <f t="shared" si="118"/>
        <v>4.6909999999999998</v>
      </c>
      <c r="I1284" s="20">
        <f t="shared" si="119"/>
        <v>4.4169999999999998</v>
      </c>
      <c r="J1284" s="20">
        <f t="shared" si="120"/>
        <v>3.15</v>
      </c>
      <c r="K1284" s="75"/>
      <c r="L1284" s="767"/>
      <c r="M1284" s="20"/>
      <c r="N1284" s="20"/>
      <c r="O1284" s="20"/>
      <c r="P1284" s="20"/>
      <c r="Q1284" s="21"/>
      <c r="R1284" s="22" t="s">
        <v>16</v>
      </c>
      <c r="S1284" s="22" t="s">
        <v>16</v>
      </c>
      <c r="T1284" s="20"/>
      <c r="U1284" s="22">
        <f t="shared" si="121"/>
        <v>0</v>
      </c>
      <c r="V1284" s="20"/>
    </row>
    <row r="1285" spans="1:22" s="294" customFormat="1" ht="14.4">
      <c r="A1285" s="425">
        <v>623</v>
      </c>
      <c r="B1285" s="2" t="s">
        <v>77</v>
      </c>
      <c r="C1285" s="426">
        <v>230</v>
      </c>
      <c r="D1285" s="419">
        <v>198</v>
      </c>
      <c r="E1285" s="426">
        <v>103</v>
      </c>
      <c r="F1285" s="426">
        <v>95</v>
      </c>
      <c r="G1285" s="21">
        <f t="shared" si="117"/>
        <v>4.5084600000000004</v>
      </c>
      <c r="H1285" s="20">
        <f t="shared" si="118"/>
        <v>4.6909999999999998</v>
      </c>
      <c r="I1285" s="20">
        <f t="shared" si="119"/>
        <v>4.508</v>
      </c>
      <c r="J1285" s="20">
        <f t="shared" si="120"/>
        <v>3.2879999999999998</v>
      </c>
      <c r="K1285" s="75"/>
      <c r="L1285" s="767"/>
      <c r="M1285" s="20"/>
      <c r="N1285" s="20"/>
      <c r="O1285" s="20"/>
      <c r="P1285" s="20"/>
      <c r="Q1285" s="21"/>
      <c r="R1285" s="22" t="s">
        <v>16</v>
      </c>
      <c r="S1285" s="22" t="s">
        <v>16</v>
      </c>
      <c r="T1285" s="20"/>
      <c r="U1285" s="22">
        <f t="shared" si="121"/>
        <v>0</v>
      </c>
      <c r="V1285" s="20"/>
    </row>
    <row r="1286" spans="1:22" s="294" customFormat="1" ht="14.4">
      <c r="A1286" s="425">
        <v>823</v>
      </c>
      <c r="B1286" s="2" t="s">
        <v>77</v>
      </c>
      <c r="C1286" s="426">
        <v>230</v>
      </c>
      <c r="D1286" s="419">
        <v>198</v>
      </c>
      <c r="E1286" s="426">
        <v>103</v>
      </c>
      <c r="F1286" s="426">
        <v>97</v>
      </c>
      <c r="G1286" s="21">
        <f t="shared" ref="G1286:G1349" si="122">IF(B1286="","",AVERAGE(E1286:F1286)*D1286*C1286/10^6)</f>
        <v>4.5540000000000003</v>
      </c>
      <c r="H1286" s="20">
        <f t="shared" ref="H1286:H1288" si="123">ROUND(C1286*D1286*E1286/10^6,3)</f>
        <v>4.6909999999999998</v>
      </c>
      <c r="I1286" s="20">
        <f t="shared" ref="I1286:I1288" si="124">IF(F1286="","-",ROUND((E1286+F1286)*C1286/2*D1286/10^6,3))</f>
        <v>4.5540000000000003</v>
      </c>
      <c r="J1286" s="20">
        <f t="shared" ref="J1286:J1288" si="125">IF(F1286="","-",ROUND((D1286+E1286)*C1286/2*F1286/10^6,3))</f>
        <v>3.3580000000000001</v>
      </c>
      <c r="K1286" s="75"/>
      <c r="L1286" s="767"/>
      <c r="M1286" s="20"/>
      <c r="N1286" s="20"/>
      <c r="O1286" s="20"/>
      <c r="P1286" s="20"/>
      <c r="Q1286" s="21"/>
      <c r="R1286" s="22" t="s">
        <v>16</v>
      </c>
      <c r="S1286" s="22" t="s">
        <v>16</v>
      </c>
      <c r="T1286" s="20"/>
      <c r="U1286" s="22">
        <f t="shared" ref="U1286:U1349" si="126">U1285</f>
        <v>0</v>
      </c>
      <c r="V1286" s="20"/>
    </row>
    <row r="1287" spans="1:22" s="294" customFormat="1" ht="14.4">
      <c r="A1287" s="568" t="s">
        <v>2137</v>
      </c>
      <c r="B1287" s="2" t="s">
        <v>77</v>
      </c>
      <c r="C1287" s="426">
        <v>230</v>
      </c>
      <c r="D1287" s="419">
        <v>198</v>
      </c>
      <c r="E1287" s="426">
        <v>71</v>
      </c>
      <c r="F1287" s="426">
        <v>65</v>
      </c>
      <c r="G1287" s="21">
        <f t="shared" si="122"/>
        <v>3.0967199999999999</v>
      </c>
      <c r="H1287" s="20">
        <f t="shared" si="123"/>
        <v>3.2330000000000001</v>
      </c>
      <c r="I1287" s="20">
        <f t="shared" si="124"/>
        <v>3.097</v>
      </c>
      <c r="J1287" s="20">
        <f t="shared" si="125"/>
        <v>2.0110000000000001</v>
      </c>
      <c r="K1287" s="75"/>
      <c r="L1287" s="767"/>
      <c r="M1287" s="20"/>
      <c r="N1287" s="20"/>
      <c r="O1287" s="20"/>
      <c r="P1287" s="20"/>
      <c r="Q1287" s="21"/>
      <c r="R1287" s="22" t="s">
        <v>16</v>
      </c>
      <c r="S1287" s="22" t="s">
        <v>16</v>
      </c>
      <c r="T1287" s="20"/>
      <c r="U1287" s="22">
        <f t="shared" si="126"/>
        <v>0</v>
      </c>
      <c r="V1287" s="20"/>
    </row>
    <row r="1288" spans="1:22" s="294" customFormat="1" ht="14.4">
      <c r="A1288" s="568" t="s">
        <v>2138</v>
      </c>
      <c r="B1288" s="2" t="s">
        <v>77</v>
      </c>
      <c r="C1288" s="426">
        <v>230</v>
      </c>
      <c r="D1288" s="419">
        <v>198</v>
      </c>
      <c r="E1288" s="426">
        <v>78</v>
      </c>
      <c r="F1288" s="426">
        <v>71</v>
      </c>
      <c r="G1288" s="21">
        <f t="shared" si="122"/>
        <v>3.3927299999999998</v>
      </c>
      <c r="H1288" s="20">
        <f t="shared" si="123"/>
        <v>3.552</v>
      </c>
      <c r="I1288" s="20">
        <f t="shared" si="124"/>
        <v>3.3929999999999998</v>
      </c>
      <c r="J1288" s="20">
        <f t="shared" si="125"/>
        <v>2.254</v>
      </c>
      <c r="K1288" s="75"/>
      <c r="L1288" s="767"/>
      <c r="M1288" s="20"/>
      <c r="N1288" s="20"/>
      <c r="O1288" s="20"/>
      <c r="P1288" s="20"/>
      <c r="Q1288" s="21"/>
      <c r="R1288" s="22" t="s">
        <v>16</v>
      </c>
      <c r="S1288" s="22" t="s">
        <v>16</v>
      </c>
      <c r="T1288" s="20"/>
      <c r="U1288" s="22">
        <f t="shared" si="126"/>
        <v>0</v>
      </c>
      <c r="V1288" s="20"/>
    </row>
    <row r="1289" spans="1:22" s="294" customFormat="1" ht="14.4">
      <c r="A1289" s="429">
        <v>1525</v>
      </c>
      <c r="B1289" s="2" t="s">
        <v>77</v>
      </c>
      <c r="C1289" s="430">
        <v>250</v>
      </c>
      <c r="D1289" s="418">
        <v>198</v>
      </c>
      <c r="E1289" s="430">
        <v>103</v>
      </c>
      <c r="F1289" s="430">
        <v>68.5</v>
      </c>
      <c r="G1289" s="21">
        <f t="shared" si="122"/>
        <v>4.2446250000000001</v>
      </c>
      <c r="H1289" s="20">
        <f>ROUND(C1289*D1289*E1289/10^6,3)</f>
        <v>5.0990000000000002</v>
      </c>
      <c r="I1289" s="20">
        <f>IF(F1289="","-",ROUND((E1289+F1289)*C1289/2*D1289/10^6,3))</f>
        <v>4.2450000000000001</v>
      </c>
      <c r="J1289" s="20">
        <f>IF(F1289="","-",ROUND((D1289+E1289)*C1289/2*F1289/10^6,3))</f>
        <v>2.577</v>
      </c>
      <c r="K1289" s="75"/>
      <c r="L1289" s="767"/>
      <c r="M1289" s="20"/>
      <c r="N1289" s="20"/>
      <c r="O1289" s="20"/>
      <c r="P1289" s="20"/>
      <c r="Q1289" s="21"/>
      <c r="R1289" s="22" t="s">
        <v>16</v>
      </c>
      <c r="S1289" s="22" t="s">
        <v>16</v>
      </c>
      <c r="T1289" s="20"/>
      <c r="U1289" s="22">
        <f t="shared" si="126"/>
        <v>0</v>
      </c>
      <c r="V1289" s="20"/>
    </row>
    <row r="1290" spans="1:22" s="294" customFormat="1" ht="14.4">
      <c r="A1290" s="429">
        <v>225</v>
      </c>
      <c r="B1290" s="2" t="s">
        <v>77</v>
      </c>
      <c r="C1290" s="430">
        <v>250</v>
      </c>
      <c r="D1290" s="418">
        <v>198</v>
      </c>
      <c r="E1290" s="430">
        <v>103</v>
      </c>
      <c r="F1290" s="430">
        <v>77</v>
      </c>
      <c r="G1290" s="21">
        <f t="shared" si="122"/>
        <v>4.4550000000000001</v>
      </c>
      <c r="H1290" s="20">
        <f t="shared" ref="H1290:H1351" si="127">ROUND(C1290*D1290*E1290/10^6,3)</f>
        <v>5.0990000000000002</v>
      </c>
      <c r="I1290" s="20">
        <f t="shared" ref="I1290:I1351" si="128">IF(F1290="","-",ROUND((E1290+F1290)*C1290/2*D1290/10^6,3))</f>
        <v>4.4550000000000001</v>
      </c>
      <c r="J1290" s="20">
        <f t="shared" ref="J1290:J1351" si="129">IF(F1290="","-",ROUND((D1290+E1290)*C1290/2*F1290/10^6,3))</f>
        <v>2.8969999999999998</v>
      </c>
      <c r="K1290" s="75"/>
      <c r="L1290" s="767"/>
      <c r="M1290" s="20"/>
      <c r="N1290" s="20"/>
      <c r="O1290" s="20"/>
      <c r="P1290" s="20"/>
      <c r="Q1290" s="21"/>
      <c r="R1290" s="22" t="s">
        <v>16</v>
      </c>
      <c r="S1290" s="22" t="s">
        <v>16</v>
      </c>
      <c r="T1290" s="20"/>
      <c r="U1290" s="22">
        <f t="shared" si="126"/>
        <v>0</v>
      </c>
      <c r="V1290" s="20"/>
    </row>
    <row r="1291" spans="1:22" s="294" customFormat="1" ht="14.4">
      <c r="A1291" s="429">
        <v>325</v>
      </c>
      <c r="B1291" s="2" t="s">
        <v>77</v>
      </c>
      <c r="C1291" s="430">
        <v>250</v>
      </c>
      <c r="D1291" s="418">
        <v>198</v>
      </c>
      <c r="E1291" s="430">
        <v>103</v>
      </c>
      <c r="F1291" s="430">
        <v>85.5</v>
      </c>
      <c r="G1291" s="21">
        <f t="shared" si="122"/>
        <v>4.665375</v>
      </c>
      <c r="H1291" s="20">
        <f t="shared" si="127"/>
        <v>5.0990000000000002</v>
      </c>
      <c r="I1291" s="20">
        <f t="shared" si="128"/>
        <v>4.665</v>
      </c>
      <c r="J1291" s="20">
        <f t="shared" si="129"/>
        <v>3.2170000000000001</v>
      </c>
      <c r="K1291" s="75"/>
      <c r="L1291" s="767"/>
      <c r="M1291" s="20"/>
      <c r="N1291" s="20"/>
      <c r="O1291" s="20"/>
      <c r="P1291" s="20"/>
      <c r="Q1291" s="21"/>
      <c r="R1291" s="22" t="s">
        <v>16</v>
      </c>
      <c r="S1291" s="22" t="s">
        <v>16</v>
      </c>
      <c r="T1291" s="20"/>
      <c r="U1291" s="22">
        <f t="shared" si="126"/>
        <v>0</v>
      </c>
      <c r="V1291" s="20"/>
    </row>
    <row r="1292" spans="1:22" s="294" customFormat="1" ht="14.4">
      <c r="A1292" s="429">
        <v>425</v>
      </c>
      <c r="B1292" s="2" t="s">
        <v>77</v>
      </c>
      <c r="C1292" s="430">
        <v>250</v>
      </c>
      <c r="D1292" s="418">
        <v>198</v>
      </c>
      <c r="E1292" s="430">
        <v>103</v>
      </c>
      <c r="F1292" s="430">
        <v>90</v>
      </c>
      <c r="G1292" s="21">
        <f t="shared" si="122"/>
        <v>4.7767499999999998</v>
      </c>
      <c r="H1292" s="20">
        <f t="shared" si="127"/>
        <v>5.0990000000000002</v>
      </c>
      <c r="I1292" s="20">
        <f t="shared" si="128"/>
        <v>4.7770000000000001</v>
      </c>
      <c r="J1292" s="20">
        <f t="shared" si="129"/>
        <v>3.3860000000000001</v>
      </c>
      <c r="K1292" s="75"/>
      <c r="L1292" s="767"/>
      <c r="M1292" s="20"/>
      <c r="N1292" s="20"/>
      <c r="O1292" s="20"/>
      <c r="P1292" s="20"/>
      <c r="Q1292" s="21"/>
      <c r="R1292" s="22" t="s">
        <v>16</v>
      </c>
      <c r="S1292" s="22" t="s">
        <v>16</v>
      </c>
      <c r="T1292" s="20"/>
      <c r="U1292" s="22">
        <f t="shared" si="126"/>
        <v>0</v>
      </c>
      <c r="V1292" s="20"/>
    </row>
    <row r="1293" spans="1:22" s="294" customFormat="1" ht="14.4">
      <c r="A1293" s="429">
        <v>525</v>
      </c>
      <c r="B1293" s="2" t="s">
        <v>77</v>
      </c>
      <c r="C1293" s="430">
        <v>250</v>
      </c>
      <c r="D1293" s="418">
        <v>198</v>
      </c>
      <c r="E1293" s="430">
        <v>103</v>
      </c>
      <c r="F1293" s="430">
        <v>92.7</v>
      </c>
      <c r="G1293" s="21">
        <f t="shared" si="122"/>
        <v>4.8435750000000004</v>
      </c>
      <c r="H1293" s="20">
        <f t="shared" si="127"/>
        <v>5.0990000000000002</v>
      </c>
      <c r="I1293" s="20">
        <f t="shared" si="128"/>
        <v>4.8440000000000003</v>
      </c>
      <c r="J1293" s="20">
        <f t="shared" si="129"/>
        <v>3.488</v>
      </c>
      <c r="K1293" s="75"/>
      <c r="L1293" s="767"/>
      <c r="M1293" s="20"/>
      <c r="N1293" s="20"/>
      <c r="O1293" s="20"/>
      <c r="P1293" s="20"/>
      <c r="Q1293" s="21"/>
      <c r="R1293" s="22" t="s">
        <v>16</v>
      </c>
      <c r="S1293" s="22" t="s">
        <v>16</v>
      </c>
      <c r="T1293" s="20"/>
      <c r="U1293" s="22">
        <f t="shared" si="126"/>
        <v>0</v>
      </c>
      <c r="V1293" s="20"/>
    </row>
    <row r="1294" spans="1:22" s="294" customFormat="1" ht="14.4">
      <c r="A1294" s="429">
        <v>625</v>
      </c>
      <c r="B1294" s="2" t="s">
        <v>77</v>
      </c>
      <c r="C1294" s="430">
        <v>250</v>
      </c>
      <c r="D1294" s="418">
        <v>198</v>
      </c>
      <c r="E1294" s="430">
        <v>103</v>
      </c>
      <c r="F1294" s="430">
        <v>94.5</v>
      </c>
      <c r="G1294" s="21">
        <f t="shared" si="122"/>
        <v>4.8881249999999996</v>
      </c>
      <c r="H1294" s="20">
        <f t="shared" si="127"/>
        <v>5.0990000000000002</v>
      </c>
      <c r="I1294" s="20">
        <f t="shared" si="128"/>
        <v>4.8879999999999999</v>
      </c>
      <c r="J1294" s="20">
        <f t="shared" si="129"/>
        <v>3.556</v>
      </c>
      <c r="K1294" s="75"/>
      <c r="L1294" s="767"/>
      <c r="M1294" s="20"/>
      <c r="N1294" s="20"/>
      <c r="O1294" s="20"/>
      <c r="P1294" s="20"/>
      <c r="Q1294" s="21"/>
      <c r="R1294" s="22" t="s">
        <v>16</v>
      </c>
      <c r="S1294" s="22" t="s">
        <v>16</v>
      </c>
      <c r="T1294" s="20"/>
      <c r="U1294" s="22">
        <f t="shared" si="126"/>
        <v>0</v>
      </c>
      <c r="V1294" s="20"/>
    </row>
    <row r="1295" spans="1:22" s="294" customFormat="1" ht="14.4">
      <c r="A1295" s="429">
        <v>725</v>
      </c>
      <c r="B1295" s="2" t="s">
        <v>77</v>
      </c>
      <c r="C1295" s="430">
        <v>250</v>
      </c>
      <c r="D1295" s="418">
        <v>198</v>
      </c>
      <c r="E1295" s="430">
        <v>103</v>
      </c>
      <c r="F1295" s="430">
        <v>95.5</v>
      </c>
      <c r="G1295" s="21">
        <f t="shared" si="122"/>
        <v>4.9128749999999997</v>
      </c>
      <c r="H1295" s="20">
        <f t="shared" si="127"/>
        <v>5.0990000000000002</v>
      </c>
      <c r="I1295" s="20">
        <f t="shared" si="128"/>
        <v>4.9130000000000003</v>
      </c>
      <c r="J1295" s="20">
        <f t="shared" si="129"/>
        <v>3.593</v>
      </c>
      <c r="K1295" s="75"/>
      <c r="L1295" s="767"/>
      <c r="M1295" s="20"/>
      <c r="N1295" s="20"/>
      <c r="O1295" s="20"/>
      <c r="P1295" s="20"/>
      <c r="Q1295" s="21"/>
      <c r="R1295" s="22" t="s">
        <v>16</v>
      </c>
      <c r="S1295" s="22" t="s">
        <v>16</v>
      </c>
      <c r="T1295" s="20"/>
      <c r="U1295" s="22">
        <f t="shared" si="126"/>
        <v>0</v>
      </c>
      <c r="V1295" s="20"/>
    </row>
    <row r="1296" spans="1:22" s="294" customFormat="1" ht="14.4">
      <c r="A1296" s="429">
        <v>825</v>
      </c>
      <c r="B1296" s="2" t="s">
        <v>77</v>
      </c>
      <c r="C1296" s="569">
        <v>250</v>
      </c>
      <c r="D1296" s="570">
        <v>198</v>
      </c>
      <c r="E1296" s="569">
        <v>103</v>
      </c>
      <c r="F1296" s="569">
        <v>96.5</v>
      </c>
      <c r="G1296" s="21">
        <f t="shared" si="122"/>
        <v>4.9376249999999997</v>
      </c>
      <c r="H1296" s="20">
        <f t="shared" si="127"/>
        <v>5.0990000000000002</v>
      </c>
      <c r="I1296" s="20">
        <f t="shared" si="128"/>
        <v>4.9379999999999997</v>
      </c>
      <c r="J1296" s="20">
        <f t="shared" si="129"/>
        <v>3.6309999999999998</v>
      </c>
      <c r="K1296" s="75"/>
      <c r="L1296" s="767"/>
      <c r="M1296" s="20"/>
      <c r="N1296" s="20"/>
      <c r="O1296" s="20"/>
      <c r="P1296" s="20"/>
      <c r="Q1296" s="21"/>
      <c r="R1296" s="22" t="s">
        <v>16</v>
      </c>
      <c r="S1296" s="22" t="s">
        <v>16</v>
      </c>
      <c r="T1296" s="20"/>
      <c r="U1296" s="22">
        <f t="shared" si="126"/>
        <v>0</v>
      </c>
      <c r="V1296" s="20"/>
    </row>
    <row r="1297" spans="1:22" s="294" customFormat="1" ht="14.4">
      <c r="A1297" s="571" t="s">
        <v>2139</v>
      </c>
      <c r="B1297" s="2" t="s">
        <v>77</v>
      </c>
      <c r="C1297" s="569">
        <v>250</v>
      </c>
      <c r="D1297" s="570">
        <v>198</v>
      </c>
      <c r="E1297" s="569">
        <v>71</v>
      </c>
      <c r="F1297" s="569">
        <v>65</v>
      </c>
      <c r="G1297" s="21">
        <f t="shared" si="122"/>
        <v>3.3660000000000001</v>
      </c>
      <c r="H1297" s="20">
        <f t="shared" si="127"/>
        <v>3.5150000000000001</v>
      </c>
      <c r="I1297" s="20">
        <f t="shared" si="128"/>
        <v>3.3660000000000001</v>
      </c>
      <c r="J1297" s="20">
        <f t="shared" si="129"/>
        <v>2.1859999999999999</v>
      </c>
      <c r="K1297" s="75"/>
      <c r="L1297" s="767"/>
      <c r="M1297" s="20"/>
      <c r="N1297" s="20"/>
      <c r="O1297" s="20"/>
      <c r="P1297" s="20"/>
      <c r="Q1297" s="21"/>
      <c r="R1297" s="22" t="s">
        <v>16</v>
      </c>
      <c r="S1297" s="22" t="s">
        <v>16</v>
      </c>
      <c r="T1297" s="20"/>
      <c r="U1297" s="22">
        <f t="shared" si="126"/>
        <v>0</v>
      </c>
      <c r="V1297" s="20"/>
    </row>
    <row r="1298" spans="1:22" s="294" customFormat="1" ht="14.4">
      <c r="A1298" s="571" t="s">
        <v>2140</v>
      </c>
      <c r="B1298" s="2" t="s">
        <v>77</v>
      </c>
      <c r="C1298" s="569">
        <v>250</v>
      </c>
      <c r="D1298" s="570">
        <v>198</v>
      </c>
      <c r="E1298" s="569">
        <v>78</v>
      </c>
      <c r="F1298" s="569">
        <v>71</v>
      </c>
      <c r="G1298" s="21">
        <f t="shared" si="122"/>
        <v>3.6877499999999999</v>
      </c>
      <c r="H1298" s="20">
        <f t="shared" si="127"/>
        <v>3.8610000000000002</v>
      </c>
      <c r="I1298" s="20">
        <f t="shared" si="128"/>
        <v>3.6880000000000002</v>
      </c>
      <c r="J1298" s="20">
        <f t="shared" si="129"/>
        <v>2.4500000000000002</v>
      </c>
      <c r="K1298" s="75"/>
      <c r="L1298" s="767"/>
      <c r="M1298" s="20"/>
      <c r="N1298" s="20"/>
      <c r="O1298" s="20"/>
      <c r="P1298" s="20"/>
      <c r="Q1298" s="21"/>
      <c r="R1298" s="22" t="s">
        <v>16</v>
      </c>
      <c r="S1298" s="22" t="s">
        <v>16</v>
      </c>
      <c r="T1298" s="20"/>
      <c r="U1298" s="22">
        <f t="shared" si="126"/>
        <v>0</v>
      </c>
      <c r="V1298" s="20"/>
    </row>
    <row r="1299" spans="1:22" s="294" customFormat="1" ht="14.4">
      <c r="A1299" s="425">
        <v>230</v>
      </c>
      <c r="B1299" s="2" t="s">
        <v>77</v>
      </c>
      <c r="C1299" s="426">
        <v>300</v>
      </c>
      <c r="D1299" s="419">
        <v>198</v>
      </c>
      <c r="E1299" s="426">
        <v>103</v>
      </c>
      <c r="F1299" s="426">
        <v>71.599999999999994</v>
      </c>
      <c r="G1299" s="21">
        <f t="shared" si="122"/>
        <v>5.1856199999999992</v>
      </c>
      <c r="H1299" s="20">
        <f t="shared" si="127"/>
        <v>6.1180000000000003</v>
      </c>
      <c r="I1299" s="20">
        <f t="shared" si="128"/>
        <v>5.1859999999999999</v>
      </c>
      <c r="J1299" s="20">
        <f t="shared" si="129"/>
        <v>3.2330000000000001</v>
      </c>
      <c r="K1299" s="75"/>
      <c r="L1299" s="767"/>
      <c r="M1299" s="20"/>
      <c r="N1299" s="20"/>
      <c r="O1299" s="20"/>
      <c r="P1299" s="20"/>
      <c r="Q1299" s="21"/>
      <c r="R1299" s="22" t="s">
        <v>16</v>
      </c>
      <c r="S1299" s="22" t="s">
        <v>16</v>
      </c>
      <c r="T1299" s="20"/>
      <c r="U1299" s="22">
        <f t="shared" si="126"/>
        <v>0</v>
      </c>
      <c r="V1299" s="20"/>
    </row>
    <row r="1300" spans="1:22" s="294" customFormat="1" ht="14.4">
      <c r="A1300" s="425">
        <v>330</v>
      </c>
      <c r="B1300" s="2" t="s">
        <v>77</v>
      </c>
      <c r="C1300" s="426">
        <v>300</v>
      </c>
      <c r="D1300" s="419">
        <v>198</v>
      </c>
      <c r="E1300" s="426">
        <v>103</v>
      </c>
      <c r="F1300" s="426">
        <v>82</v>
      </c>
      <c r="G1300" s="21">
        <f t="shared" si="122"/>
        <v>5.4945000000000004</v>
      </c>
      <c r="H1300" s="20">
        <f t="shared" si="127"/>
        <v>6.1180000000000003</v>
      </c>
      <c r="I1300" s="20">
        <f t="shared" si="128"/>
        <v>5.4950000000000001</v>
      </c>
      <c r="J1300" s="20">
        <f t="shared" si="129"/>
        <v>3.702</v>
      </c>
      <c r="K1300" s="75"/>
      <c r="L1300" s="767"/>
      <c r="M1300" s="20"/>
      <c r="N1300" s="20"/>
      <c r="O1300" s="20"/>
      <c r="P1300" s="20"/>
      <c r="Q1300" s="21"/>
      <c r="R1300" s="22" t="s">
        <v>16</v>
      </c>
      <c r="S1300" s="22" t="s">
        <v>16</v>
      </c>
      <c r="T1300" s="20"/>
      <c r="U1300" s="22">
        <f t="shared" si="126"/>
        <v>0</v>
      </c>
      <c r="V1300" s="20"/>
    </row>
    <row r="1301" spans="1:22" s="294" customFormat="1" ht="14.4">
      <c r="A1301" s="425">
        <v>430</v>
      </c>
      <c r="B1301" s="2" t="s">
        <v>77</v>
      </c>
      <c r="C1301" s="426">
        <v>300</v>
      </c>
      <c r="D1301" s="419">
        <v>198</v>
      </c>
      <c r="E1301" s="426">
        <v>103</v>
      </c>
      <c r="F1301" s="426">
        <v>87.3</v>
      </c>
      <c r="G1301" s="21">
        <f t="shared" si="122"/>
        <v>5.65191</v>
      </c>
      <c r="H1301" s="20">
        <f t="shared" si="127"/>
        <v>6.1180000000000003</v>
      </c>
      <c r="I1301" s="20">
        <f t="shared" si="128"/>
        <v>5.6520000000000001</v>
      </c>
      <c r="J1301" s="20">
        <f t="shared" si="129"/>
        <v>3.9420000000000002</v>
      </c>
      <c r="K1301" s="75"/>
      <c r="L1301" s="767"/>
      <c r="M1301" s="20"/>
      <c r="N1301" s="20"/>
      <c r="O1301" s="20"/>
      <c r="P1301" s="20"/>
      <c r="Q1301" s="21"/>
      <c r="R1301" s="22" t="s">
        <v>16</v>
      </c>
      <c r="S1301" s="22" t="s">
        <v>16</v>
      </c>
      <c r="T1301" s="20"/>
      <c r="U1301" s="22">
        <f t="shared" si="126"/>
        <v>0</v>
      </c>
      <c r="V1301" s="20"/>
    </row>
    <row r="1302" spans="1:22" s="294" customFormat="1" ht="14.4">
      <c r="A1302" s="425">
        <v>630</v>
      </c>
      <c r="B1302" s="2" t="s">
        <v>77</v>
      </c>
      <c r="C1302" s="426">
        <v>300</v>
      </c>
      <c r="D1302" s="419">
        <v>198</v>
      </c>
      <c r="E1302" s="426">
        <v>103</v>
      </c>
      <c r="F1302" s="426">
        <v>92.5</v>
      </c>
      <c r="G1302" s="21">
        <f t="shared" si="122"/>
        <v>5.8063500000000001</v>
      </c>
      <c r="H1302" s="20">
        <f t="shared" si="127"/>
        <v>6.1180000000000003</v>
      </c>
      <c r="I1302" s="20">
        <f t="shared" si="128"/>
        <v>5.806</v>
      </c>
      <c r="J1302" s="20">
        <f t="shared" si="129"/>
        <v>4.1760000000000002</v>
      </c>
      <c r="K1302" s="75"/>
      <c r="L1302" s="767"/>
      <c r="M1302" s="20"/>
      <c r="N1302" s="20"/>
      <c r="O1302" s="20"/>
      <c r="P1302" s="20"/>
      <c r="Q1302" s="21"/>
      <c r="R1302" s="22" t="s">
        <v>16</v>
      </c>
      <c r="S1302" s="22" t="s">
        <v>16</v>
      </c>
      <c r="T1302" s="20"/>
      <c r="U1302" s="22">
        <f t="shared" si="126"/>
        <v>0</v>
      </c>
      <c r="V1302" s="20"/>
    </row>
    <row r="1303" spans="1:22" s="294" customFormat="1" ht="14.4">
      <c r="A1303" s="425">
        <v>830</v>
      </c>
      <c r="B1303" s="2" t="s">
        <v>77</v>
      </c>
      <c r="C1303" s="426">
        <v>300</v>
      </c>
      <c r="D1303" s="419">
        <v>198</v>
      </c>
      <c r="E1303" s="426">
        <v>103</v>
      </c>
      <c r="F1303" s="426">
        <v>95</v>
      </c>
      <c r="G1303" s="21">
        <f t="shared" si="122"/>
        <v>5.8806000000000003</v>
      </c>
      <c r="H1303" s="20">
        <f t="shared" si="127"/>
        <v>6.1180000000000003</v>
      </c>
      <c r="I1303" s="20">
        <f t="shared" si="128"/>
        <v>5.8810000000000002</v>
      </c>
      <c r="J1303" s="20">
        <f t="shared" si="129"/>
        <v>4.2889999999999997</v>
      </c>
      <c r="K1303" s="75"/>
      <c r="L1303" s="767"/>
      <c r="M1303" s="20"/>
      <c r="N1303" s="20"/>
      <c r="O1303" s="20"/>
      <c r="P1303" s="20"/>
      <c r="Q1303" s="21"/>
      <c r="R1303" s="22" t="s">
        <v>16</v>
      </c>
      <c r="S1303" s="22" t="s">
        <v>16</v>
      </c>
      <c r="T1303" s="20"/>
      <c r="U1303" s="22">
        <f t="shared" si="126"/>
        <v>0</v>
      </c>
      <c r="V1303" s="20"/>
    </row>
    <row r="1304" spans="1:22" s="294" customFormat="1" ht="14.4">
      <c r="A1304" s="568" t="s">
        <v>2141</v>
      </c>
      <c r="B1304" s="2" t="s">
        <v>77</v>
      </c>
      <c r="C1304" s="426">
        <v>300</v>
      </c>
      <c r="D1304" s="419">
        <v>198</v>
      </c>
      <c r="E1304" s="426">
        <v>71</v>
      </c>
      <c r="F1304" s="426">
        <v>62</v>
      </c>
      <c r="G1304" s="21">
        <f t="shared" si="122"/>
        <v>3.9500999999999999</v>
      </c>
      <c r="H1304" s="20">
        <f t="shared" si="127"/>
        <v>4.2169999999999996</v>
      </c>
      <c r="I1304" s="20">
        <f t="shared" si="128"/>
        <v>3.95</v>
      </c>
      <c r="J1304" s="20">
        <f t="shared" si="129"/>
        <v>2.5019999999999998</v>
      </c>
      <c r="K1304" s="75"/>
      <c r="L1304" s="767"/>
      <c r="M1304" s="20"/>
      <c r="N1304" s="20"/>
      <c r="O1304" s="20"/>
      <c r="P1304" s="20"/>
      <c r="Q1304" s="21"/>
      <c r="R1304" s="22" t="s">
        <v>16</v>
      </c>
      <c r="S1304" s="22" t="s">
        <v>16</v>
      </c>
      <c r="T1304" s="20"/>
      <c r="U1304" s="22">
        <f t="shared" si="126"/>
        <v>0</v>
      </c>
      <c r="V1304" s="20"/>
    </row>
    <row r="1305" spans="1:22" s="294" customFormat="1" ht="14.4">
      <c r="A1305" s="568" t="s">
        <v>2142</v>
      </c>
      <c r="B1305" s="2" t="s">
        <v>77</v>
      </c>
      <c r="C1305" s="426">
        <v>300</v>
      </c>
      <c r="D1305" s="419">
        <v>198</v>
      </c>
      <c r="E1305" s="426">
        <v>78</v>
      </c>
      <c r="F1305" s="426">
        <v>70</v>
      </c>
      <c r="G1305" s="21">
        <f t="shared" si="122"/>
        <v>4.3956</v>
      </c>
      <c r="H1305" s="20">
        <f t="shared" si="127"/>
        <v>4.633</v>
      </c>
      <c r="I1305" s="20">
        <f t="shared" si="128"/>
        <v>4.3959999999999999</v>
      </c>
      <c r="J1305" s="20">
        <f t="shared" si="129"/>
        <v>2.8980000000000001</v>
      </c>
      <c r="K1305" s="75"/>
      <c r="L1305" s="767"/>
      <c r="M1305" s="20"/>
      <c r="N1305" s="20"/>
      <c r="O1305" s="20"/>
      <c r="P1305" s="20"/>
      <c r="Q1305" s="21"/>
      <c r="R1305" s="22" t="s">
        <v>16</v>
      </c>
      <c r="S1305" s="22" t="s">
        <v>16</v>
      </c>
      <c r="T1305" s="20"/>
      <c r="U1305" s="22">
        <f t="shared" si="126"/>
        <v>0</v>
      </c>
      <c r="V1305" s="20"/>
    </row>
    <row r="1306" spans="1:22" s="294" customFormat="1" ht="14.4">
      <c r="A1306" s="572">
        <v>235</v>
      </c>
      <c r="B1306" s="2" t="s">
        <v>77</v>
      </c>
      <c r="C1306" s="573">
        <v>350</v>
      </c>
      <c r="D1306" s="574">
        <v>198</v>
      </c>
      <c r="E1306" s="573">
        <v>103</v>
      </c>
      <c r="F1306" s="573">
        <v>66</v>
      </c>
      <c r="G1306" s="21">
        <f t="shared" si="122"/>
        <v>5.8558500000000002</v>
      </c>
      <c r="H1306" s="20">
        <f t="shared" si="127"/>
        <v>7.1379999999999999</v>
      </c>
      <c r="I1306" s="20">
        <f t="shared" si="128"/>
        <v>5.8559999999999999</v>
      </c>
      <c r="J1306" s="20">
        <f t="shared" si="129"/>
        <v>3.4769999999999999</v>
      </c>
      <c r="K1306" s="75"/>
      <c r="L1306" s="767"/>
      <c r="M1306" s="20"/>
      <c r="N1306" s="20"/>
      <c r="O1306" s="20"/>
      <c r="P1306" s="20"/>
      <c r="Q1306" s="21"/>
      <c r="R1306" s="22" t="s">
        <v>16</v>
      </c>
      <c r="S1306" s="22" t="s">
        <v>16</v>
      </c>
      <c r="T1306" s="20"/>
      <c r="U1306" s="22">
        <f t="shared" si="126"/>
        <v>0</v>
      </c>
      <c r="V1306" s="20"/>
    </row>
    <row r="1307" spans="1:22" s="294" customFormat="1" ht="14.4">
      <c r="A1307" s="572">
        <v>335</v>
      </c>
      <c r="B1307" s="2" t="s">
        <v>77</v>
      </c>
      <c r="C1307" s="573">
        <v>350</v>
      </c>
      <c r="D1307" s="574">
        <v>198</v>
      </c>
      <c r="E1307" s="573">
        <v>103</v>
      </c>
      <c r="F1307" s="573">
        <v>78.8</v>
      </c>
      <c r="G1307" s="21">
        <f t="shared" si="122"/>
        <v>6.2993699999999997</v>
      </c>
      <c r="H1307" s="20">
        <f t="shared" si="127"/>
        <v>7.1379999999999999</v>
      </c>
      <c r="I1307" s="20">
        <f t="shared" si="128"/>
        <v>6.2990000000000004</v>
      </c>
      <c r="J1307" s="20">
        <f t="shared" si="129"/>
        <v>4.1509999999999998</v>
      </c>
      <c r="K1307" s="75"/>
      <c r="L1307" s="767"/>
      <c r="M1307" s="20"/>
      <c r="N1307" s="20"/>
      <c r="O1307" s="20"/>
      <c r="P1307" s="20"/>
      <c r="Q1307" s="21"/>
      <c r="R1307" s="22" t="s">
        <v>16</v>
      </c>
      <c r="S1307" s="22" t="s">
        <v>16</v>
      </c>
      <c r="T1307" s="20"/>
      <c r="U1307" s="22">
        <f t="shared" si="126"/>
        <v>0</v>
      </c>
      <c r="V1307" s="20"/>
    </row>
    <row r="1308" spans="1:22" s="294" customFormat="1" ht="14.4">
      <c r="A1308" s="572">
        <v>435</v>
      </c>
      <c r="B1308" s="2" t="s">
        <v>77</v>
      </c>
      <c r="C1308" s="573">
        <v>350</v>
      </c>
      <c r="D1308" s="574">
        <v>198</v>
      </c>
      <c r="E1308" s="573">
        <v>103</v>
      </c>
      <c r="F1308" s="573">
        <v>84.5</v>
      </c>
      <c r="G1308" s="21">
        <f t="shared" si="122"/>
        <v>6.4968750000000002</v>
      </c>
      <c r="H1308" s="20">
        <f t="shared" si="127"/>
        <v>7.1379999999999999</v>
      </c>
      <c r="I1308" s="20">
        <f t="shared" si="128"/>
        <v>6.4969999999999999</v>
      </c>
      <c r="J1308" s="20">
        <f t="shared" si="129"/>
        <v>4.4509999999999996</v>
      </c>
      <c r="K1308" s="75"/>
      <c r="L1308" s="767"/>
      <c r="M1308" s="20"/>
      <c r="N1308" s="20"/>
      <c r="O1308" s="20"/>
      <c r="P1308" s="20"/>
      <c r="Q1308" s="21"/>
      <c r="R1308" s="22" t="s">
        <v>16</v>
      </c>
      <c r="S1308" s="22" t="s">
        <v>16</v>
      </c>
      <c r="T1308" s="20"/>
      <c r="U1308" s="22">
        <f t="shared" si="126"/>
        <v>0</v>
      </c>
      <c r="V1308" s="20"/>
    </row>
    <row r="1309" spans="1:22" s="294" customFormat="1" ht="14.4">
      <c r="A1309" s="572">
        <v>635</v>
      </c>
      <c r="B1309" s="2" t="s">
        <v>77</v>
      </c>
      <c r="C1309" s="573">
        <v>350</v>
      </c>
      <c r="D1309" s="574">
        <v>198</v>
      </c>
      <c r="E1309" s="573">
        <v>103</v>
      </c>
      <c r="F1309" s="573">
        <v>91</v>
      </c>
      <c r="G1309" s="21">
        <f t="shared" si="122"/>
        <v>6.7221000000000002</v>
      </c>
      <c r="H1309" s="20">
        <f t="shared" si="127"/>
        <v>7.1379999999999999</v>
      </c>
      <c r="I1309" s="20">
        <f t="shared" si="128"/>
        <v>6.7220000000000004</v>
      </c>
      <c r="J1309" s="20">
        <f t="shared" si="129"/>
        <v>4.7930000000000001</v>
      </c>
      <c r="K1309" s="75"/>
      <c r="L1309" s="767"/>
      <c r="M1309" s="20"/>
      <c r="N1309" s="20"/>
      <c r="O1309" s="20"/>
      <c r="P1309" s="20"/>
      <c r="Q1309" s="21"/>
      <c r="R1309" s="22" t="s">
        <v>16</v>
      </c>
      <c r="S1309" s="22" t="s">
        <v>16</v>
      </c>
      <c r="T1309" s="20"/>
      <c r="U1309" s="22">
        <f t="shared" si="126"/>
        <v>0</v>
      </c>
      <c r="V1309" s="20"/>
    </row>
    <row r="1310" spans="1:22" s="294" customFormat="1" ht="14.4">
      <c r="A1310" s="572">
        <v>835</v>
      </c>
      <c r="B1310" s="2" t="s">
        <v>77</v>
      </c>
      <c r="C1310" s="573">
        <v>350</v>
      </c>
      <c r="D1310" s="574">
        <v>198</v>
      </c>
      <c r="E1310" s="573">
        <v>103</v>
      </c>
      <c r="F1310" s="573">
        <v>94</v>
      </c>
      <c r="G1310" s="21">
        <f t="shared" si="122"/>
        <v>6.8260500000000004</v>
      </c>
      <c r="H1310" s="20">
        <f t="shared" si="127"/>
        <v>7.1379999999999999</v>
      </c>
      <c r="I1310" s="20">
        <f t="shared" si="128"/>
        <v>6.8259999999999996</v>
      </c>
      <c r="J1310" s="20">
        <f t="shared" si="129"/>
        <v>4.9509999999999996</v>
      </c>
      <c r="K1310" s="75"/>
      <c r="L1310" s="767"/>
      <c r="M1310" s="20"/>
      <c r="N1310" s="20"/>
      <c r="O1310" s="20"/>
      <c r="P1310" s="20"/>
      <c r="Q1310" s="21"/>
      <c r="R1310" s="22" t="s">
        <v>16</v>
      </c>
      <c r="S1310" s="22" t="s">
        <v>16</v>
      </c>
      <c r="T1310" s="20"/>
      <c r="U1310" s="22">
        <f t="shared" si="126"/>
        <v>0</v>
      </c>
      <c r="V1310" s="20"/>
    </row>
    <row r="1311" spans="1:22" s="294" customFormat="1" ht="14.4">
      <c r="A1311" s="572" t="s">
        <v>2143</v>
      </c>
      <c r="B1311" s="2" t="s">
        <v>77</v>
      </c>
      <c r="C1311" s="573">
        <v>350</v>
      </c>
      <c r="D1311" s="574">
        <v>198</v>
      </c>
      <c r="E1311" s="573">
        <v>71</v>
      </c>
      <c r="F1311" s="573">
        <v>61</v>
      </c>
      <c r="G1311" s="21">
        <f t="shared" si="122"/>
        <v>4.5738000000000003</v>
      </c>
      <c r="H1311" s="20">
        <f t="shared" si="127"/>
        <v>4.92</v>
      </c>
      <c r="I1311" s="20">
        <f t="shared" si="128"/>
        <v>4.5739999999999998</v>
      </c>
      <c r="J1311" s="20">
        <f t="shared" si="129"/>
        <v>2.8719999999999999</v>
      </c>
      <c r="K1311" s="75"/>
      <c r="L1311" s="767"/>
      <c r="M1311" s="20"/>
      <c r="N1311" s="20"/>
      <c r="O1311" s="20"/>
      <c r="P1311" s="20"/>
      <c r="Q1311" s="21"/>
      <c r="R1311" s="22" t="s">
        <v>16</v>
      </c>
      <c r="S1311" s="22" t="s">
        <v>16</v>
      </c>
      <c r="T1311" s="20"/>
      <c r="U1311" s="22">
        <f t="shared" si="126"/>
        <v>0</v>
      </c>
      <c r="V1311" s="20"/>
    </row>
    <row r="1312" spans="1:22" s="294" customFormat="1" ht="14.4">
      <c r="A1312" s="572" t="s">
        <v>2144</v>
      </c>
      <c r="B1312" s="2" t="s">
        <v>77</v>
      </c>
      <c r="C1312" s="573">
        <v>350</v>
      </c>
      <c r="D1312" s="574">
        <v>198</v>
      </c>
      <c r="E1312" s="573">
        <v>78</v>
      </c>
      <c r="F1312" s="573">
        <v>69</v>
      </c>
      <c r="G1312" s="21">
        <f t="shared" si="122"/>
        <v>5.0935499999999996</v>
      </c>
      <c r="H1312" s="20">
        <f t="shared" si="127"/>
        <v>5.4050000000000002</v>
      </c>
      <c r="I1312" s="20">
        <f t="shared" si="128"/>
        <v>5.0940000000000003</v>
      </c>
      <c r="J1312" s="20">
        <f t="shared" si="129"/>
        <v>3.3330000000000002</v>
      </c>
      <c r="K1312" s="75"/>
      <c r="L1312" s="767"/>
      <c r="M1312" s="20"/>
      <c r="N1312" s="20"/>
      <c r="O1312" s="20"/>
      <c r="P1312" s="20"/>
      <c r="Q1312" s="21"/>
      <c r="R1312" s="22" t="s">
        <v>16</v>
      </c>
      <c r="S1312" s="22" t="s">
        <v>16</v>
      </c>
      <c r="T1312" s="20"/>
      <c r="U1312" s="22">
        <f t="shared" si="126"/>
        <v>0</v>
      </c>
      <c r="V1312" s="20"/>
    </row>
    <row r="1313" spans="1:22" s="294" customFormat="1">
      <c r="A1313" s="293"/>
      <c r="B1313" s="2"/>
      <c r="C1313" s="2"/>
      <c r="D1313" s="2"/>
      <c r="E1313" s="2"/>
      <c r="F1313" s="2"/>
      <c r="G1313" s="21" t="str">
        <f t="shared" ref="G1313:G1342" si="130">IF(B1313="","",IF(OR(B1313="PA",B1313="PL"),H1313,IF(OR(B1313="VDZ",B1313="ISO",B1313="A1",B1313="A2",B1313="A3",B1313="AE",B1313="A2/3",B1313="A3/4",B1313="C1",B1313="C2",B1313="C3",B1313="CE",B1313="C2/3",B1313="C3/4"),I1313,J1313)))</f>
        <v/>
      </c>
      <c r="H1313" s="20">
        <f t="shared" si="127"/>
        <v>0</v>
      </c>
      <c r="I1313" s="20" t="str">
        <f t="shared" si="128"/>
        <v>-</v>
      </c>
      <c r="J1313" s="20" t="str">
        <f t="shared" si="129"/>
        <v>-</v>
      </c>
      <c r="K1313" s="75"/>
      <c r="L1313" s="767"/>
      <c r="M1313" s="20"/>
      <c r="N1313" s="20"/>
      <c r="O1313" s="20"/>
      <c r="P1313" s="20"/>
      <c r="Q1313" s="21"/>
      <c r="R1313" s="22" t="s">
        <v>16</v>
      </c>
      <c r="S1313" s="22" t="s">
        <v>16</v>
      </c>
      <c r="T1313" s="20"/>
      <c r="U1313" s="22">
        <f t="shared" si="126"/>
        <v>0</v>
      </c>
      <c r="V1313" s="20"/>
    </row>
    <row r="1314" spans="1:22" s="294" customFormat="1" ht="14.4">
      <c r="A1314" s="385" t="s">
        <v>1679</v>
      </c>
      <c r="B1314" s="2" t="s">
        <v>77</v>
      </c>
      <c r="C1314" s="394">
        <v>180</v>
      </c>
      <c r="D1314" s="403">
        <v>300</v>
      </c>
      <c r="E1314" s="394">
        <v>103</v>
      </c>
      <c r="F1314" s="394">
        <v>84</v>
      </c>
      <c r="G1314" s="21">
        <f t="shared" si="122"/>
        <v>5.0490000000000004</v>
      </c>
      <c r="H1314" s="20">
        <f t="shared" si="127"/>
        <v>5.5620000000000003</v>
      </c>
      <c r="I1314" s="20">
        <f t="shared" si="128"/>
        <v>5.0490000000000004</v>
      </c>
      <c r="J1314" s="20">
        <f t="shared" si="129"/>
        <v>3.0470000000000002</v>
      </c>
      <c r="K1314" s="75"/>
      <c r="L1314" s="767"/>
      <c r="M1314" s="20"/>
      <c r="N1314" s="20"/>
      <c r="O1314" s="20"/>
      <c r="P1314" s="20"/>
      <c r="Q1314" s="21"/>
      <c r="R1314" s="22" t="s">
        <v>16</v>
      </c>
      <c r="S1314" s="22" t="s">
        <v>16</v>
      </c>
      <c r="T1314" s="20"/>
      <c r="U1314" s="22">
        <f t="shared" si="126"/>
        <v>0</v>
      </c>
      <c r="V1314" s="20"/>
    </row>
    <row r="1315" spans="1:22" s="294" customFormat="1" ht="14.4">
      <c r="A1315" s="385" t="s">
        <v>1680</v>
      </c>
      <c r="B1315" s="2" t="s">
        <v>77</v>
      </c>
      <c r="C1315" s="394">
        <v>180</v>
      </c>
      <c r="D1315" s="403">
        <v>300</v>
      </c>
      <c r="E1315" s="394">
        <v>103</v>
      </c>
      <c r="F1315" s="394">
        <v>90.5</v>
      </c>
      <c r="G1315" s="21">
        <f t="shared" si="122"/>
        <v>5.2244999999999999</v>
      </c>
      <c r="H1315" s="20">
        <f t="shared" si="127"/>
        <v>5.5620000000000003</v>
      </c>
      <c r="I1315" s="20">
        <f t="shared" si="128"/>
        <v>5.2249999999999996</v>
      </c>
      <c r="J1315" s="20">
        <f t="shared" si="129"/>
        <v>3.282</v>
      </c>
      <c r="K1315" s="75"/>
      <c r="L1315" s="767"/>
      <c r="M1315" s="20"/>
      <c r="N1315" s="20"/>
      <c r="O1315" s="20"/>
      <c r="P1315" s="20"/>
      <c r="Q1315" s="21"/>
      <c r="R1315" s="22" t="s">
        <v>16</v>
      </c>
      <c r="S1315" s="22" t="s">
        <v>16</v>
      </c>
      <c r="T1315" s="20"/>
      <c r="U1315" s="22">
        <f t="shared" si="126"/>
        <v>0</v>
      </c>
      <c r="V1315" s="20"/>
    </row>
    <row r="1316" spans="1:22" s="294" customFormat="1" ht="14.4">
      <c r="A1316" s="385" t="s">
        <v>1681</v>
      </c>
      <c r="B1316" s="2" t="s">
        <v>77</v>
      </c>
      <c r="C1316" s="394">
        <v>180</v>
      </c>
      <c r="D1316" s="403">
        <v>300</v>
      </c>
      <c r="E1316" s="394">
        <v>103</v>
      </c>
      <c r="F1316" s="394">
        <v>93.5</v>
      </c>
      <c r="G1316" s="21">
        <f t="shared" si="122"/>
        <v>5.3055000000000003</v>
      </c>
      <c r="H1316" s="20">
        <f t="shared" si="127"/>
        <v>5.5620000000000003</v>
      </c>
      <c r="I1316" s="20">
        <f t="shared" si="128"/>
        <v>5.306</v>
      </c>
      <c r="J1316" s="20">
        <f t="shared" si="129"/>
        <v>3.391</v>
      </c>
      <c r="K1316" s="75"/>
      <c r="L1316" s="767"/>
      <c r="M1316" s="20"/>
      <c r="N1316" s="20"/>
      <c r="O1316" s="20"/>
      <c r="P1316" s="20"/>
      <c r="Q1316" s="21"/>
      <c r="R1316" s="22" t="s">
        <v>16</v>
      </c>
      <c r="S1316" s="22" t="s">
        <v>16</v>
      </c>
      <c r="T1316" s="20"/>
      <c r="U1316" s="22">
        <f t="shared" si="126"/>
        <v>0</v>
      </c>
      <c r="V1316" s="20"/>
    </row>
    <row r="1317" spans="1:22" s="294" customFormat="1" ht="14.4">
      <c r="A1317" s="385" t="s">
        <v>1682</v>
      </c>
      <c r="B1317" s="2" t="s">
        <v>77</v>
      </c>
      <c r="C1317" s="394">
        <v>180</v>
      </c>
      <c r="D1317" s="403">
        <v>300</v>
      </c>
      <c r="E1317" s="394">
        <v>103</v>
      </c>
      <c r="F1317" s="394">
        <v>97</v>
      </c>
      <c r="G1317" s="21">
        <f t="shared" si="122"/>
        <v>5.4</v>
      </c>
      <c r="H1317" s="20">
        <f t="shared" si="127"/>
        <v>5.5620000000000003</v>
      </c>
      <c r="I1317" s="20">
        <f t="shared" si="128"/>
        <v>5.4</v>
      </c>
      <c r="J1317" s="20">
        <f t="shared" si="129"/>
        <v>3.5179999999999998</v>
      </c>
      <c r="K1317" s="75"/>
      <c r="L1317" s="767"/>
      <c r="M1317" s="20"/>
      <c r="N1317" s="20"/>
      <c r="O1317" s="20"/>
      <c r="P1317" s="20"/>
      <c r="Q1317" s="21"/>
      <c r="R1317" s="22" t="s">
        <v>16</v>
      </c>
      <c r="S1317" s="22" t="s">
        <v>16</v>
      </c>
      <c r="T1317" s="20"/>
      <c r="U1317" s="22">
        <f t="shared" si="126"/>
        <v>0</v>
      </c>
      <c r="V1317" s="20"/>
    </row>
    <row r="1318" spans="1:22" s="294" customFormat="1" ht="14.4">
      <c r="A1318" s="389" t="s">
        <v>1683</v>
      </c>
      <c r="B1318" s="2" t="s">
        <v>77</v>
      </c>
      <c r="C1318" s="395">
        <v>200</v>
      </c>
      <c r="D1318" s="405">
        <v>300</v>
      </c>
      <c r="E1318" s="395">
        <v>103</v>
      </c>
      <c r="F1318" s="395">
        <v>82</v>
      </c>
      <c r="G1318" s="21">
        <f t="shared" si="122"/>
        <v>5.55</v>
      </c>
      <c r="H1318" s="20">
        <f t="shared" si="127"/>
        <v>6.18</v>
      </c>
      <c r="I1318" s="20">
        <f t="shared" si="128"/>
        <v>5.55</v>
      </c>
      <c r="J1318" s="20">
        <f t="shared" si="129"/>
        <v>3.3050000000000002</v>
      </c>
      <c r="K1318" s="75"/>
      <c r="L1318" s="767"/>
      <c r="M1318" s="20"/>
      <c r="N1318" s="20"/>
      <c r="O1318" s="20"/>
      <c r="P1318" s="20"/>
      <c r="Q1318" s="21"/>
      <c r="R1318" s="22" t="s">
        <v>16</v>
      </c>
      <c r="S1318" s="22" t="s">
        <v>16</v>
      </c>
      <c r="T1318" s="20"/>
      <c r="U1318" s="22">
        <f t="shared" si="126"/>
        <v>0</v>
      </c>
      <c r="V1318" s="20"/>
    </row>
    <row r="1319" spans="1:22" s="294" customFormat="1" ht="14.4">
      <c r="A1319" s="389" t="s">
        <v>1684</v>
      </c>
      <c r="B1319" s="2" t="s">
        <v>77</v>
      </c>
      <c r="C1319" s="395">
        <v>200</v>
      </c>
      <c r="D1319" s="405">
        <v>300</v>
      </c>
      <c r="E1319" s="395">
        <v>103</v>
      </c>
      <c r="F1319" s="395">
        <v>89</v>
      </c>
      <c r="G1319" s="21">
        <f t="shared" si="122"/>
        <v>5.76</v>
      </c>
      <c r="H1319" s="20">
        <f t="shared" si="127"/>
        <v>6.18</v>
      </c>
      <c r="I1319" s="20">
        <f t="shared" si="128"/>
        <v>5.76</v>
      </c>
      <c r="J1319" s="20">
        <f t="shared" si="129"/>
        <v>3.5870000000000002</v>
      </c>
      <c r="K1319" s="75"/>
      <c r="L1319" s="767"/>
      <c r="M1319" s="20"/>
      <c r="N1319" s="20"/>
      <c r="O1319" s="20"/>
      <c r="P1319" s="20"/>
      <c r="Q1319" s="21"/>
      <c r="R1319" s="22" t="s">
        <v>16</v>
      </c>
      <c r="S1319" s="22" t="s">
        <v>16</v>
      </c>
      <c r="T1319" s="20"/>
      <c r="U1319" s="22">
        <f t="shared" si="126"/>
        <v>0</v>
      </c>
      <c r="V1319" s="20"/>
    </row>
    <row r="1320" spans="1:22" s="294" customFormat="1" ht="14.4">
      <c r="A1320" s="389" t="s">
        <v>1685</v>
      </c>
      <c r="B1320" s="2" t="s">
        <v>77</v>
      </c>
      <c r="C1320" s="395">
        <v>200</v>
      </c>
      <c r="D1320" s="405">
        <v>300</v>
      </c>
      <c r="E1320" s="395">
        <v>103</v>
      </c>
      <c r="F1320" s="395">
        <v>92.5</v>
      </c>
      <c r="G1320" s="21">
        <f t="shared" si="122"/>
        <v>5.8650000000000002</v>
      </c>
      <c r="H1320" s="20">
        <f t="shared" si="127"/>
        <v>6.18</v>
      </c>
      <c r="I1320" s="20">
        <f t="shared" si="128"/>
        <v>5.8650000000000002</v>
      </c>
      <c r="J1320" s="20">
        <f t="shared" si="129"/>
        <v>3.7280000000000002</v>
      </c>
      <c r="K1320" s="75"/>
      <c r="L1320" s="767"/>
      <c r="M1320" s="20"/>
      <c r="N1320" s="20"/>
      <c r="O1320" s="20"/>
      <c r="P1320" s="20"/>
      <c r="Q1320" s="21"/>
      <c r="R1320" s="22" t="s">
        <v>16</v>
      </c>
      <c r="S1320" s="22" t="s">
        <v>16</v>
      </c>
      <c r="T1320" s="20"/>
      <c r="U1320" s="22">
        <f t="shared" si="126"/>
        <v>0</v>
      </c>
      <c r="V1320" s="20"/>
    </row>
    <row r="1321" spans="1:22" s="294" customFormat="1" ht="14.4">
      <c r="A1321" s="389" t="s">
        <v>1686</v>
      </c>
      <c r="B1321" s="2" t="s">
        <v>77</v>
      </c>
      <c r="C1321" s="395">
        <v>200</v>
      </c>
      <c r="D1321" s="405">
        <v>300</v>
      </c>
      <c r="E1321" s="395">
        <v>103</v>
      </c>
      <c r="F1321" s="395">
        <v>94.7</v>
      </c>
      <c r="G1321" s="21">
        <f t="shared" si="122"/>
        <v>5.931</v>
      </c>
      <c r="H1321" s="20">
        <f t="shared" si="127"/>
        <v>6.18</v>
      </c>
      <c r="I1321" s="20">
        <f t="shared" si="128"/>
        <v>5.931</v>
      </c>
      <c r="J1321" s="20">
        <f t="shared" si="129"/>
        <v>3.8159999999999998</v>
      </c>
      <c r="K1321" s="75"/>
      <c r="L1321" s="767"/>
      <c r="M1321" s="20"/>
      <c r="N1321" s="20"/>
      <c r="O1321" s="20"/>
      <c r="P1321" s="20"/>
      <c r="Q1321" s="21"/>
      <c r="R1321" s="22" t="s">
        <v>16</v>
      </c>
      <c r="S1321" s="22" t="s">
        <v>16</v>
      </c>
      <c r="T1321" s="20"/>
      <c r="U1321" s="22">
        <f t="shared" si="126"/>
        <v>0</v>
      </c>
      <c r="V1321" s="20"/>
    </row>
    <row r="1322" spans="1:22" s="294" customFormat="1" ht="14.4">
      <c r="A1322" s="389" t="s">
        <v>1687</v>
      </c>
      <c r="B1322" s="2" t="s">
        <v>77</v>
      </c>
      <c r="C1322" s="395">
        <v>200</v>
      </c>
      <c r="D1322" s="405">
        <v>300</v>
      </c>
      <c r="E1322" s="395">
        <v>103</v>
      </c>
      <c r="F1322" s="395">
        <v>96.2</v>
      </c>
      <c r="G1322" s="21">
        <f t="shared" si="122"/>
        <v>5.976</v>
      </c>
      <c r="H1322" s="20">
        <f t="shared" si="127"/>
        <v>6.18</v>
      </c>
      <c r="I1322" s="20">
        <f t="shared" si="128"/>
        <v>5.976</v>
      </c>
      <c r="J1322" s="20">
        <f t="shared" si="129"/>
        <v>3.8769999999999998</v>
      </c>
      <c r="K1322" s="75"/>
      <c r="L1322" s="767"/>
      <c r="M1322" s="20"/>
      <c r="N1322" s="20"/>
      <c r="O1322" s="20"/>
      <c r="P1322" s="20"/>
      <c r="Q1322" s="21"/>
      <c r="R1322" s="22" t="s">
        <v>16</v>
      </c>
      <c r="S1322" s="22" t="s">
        <v>16</v>
      </c>
      <c r="T1322" s="20"/>
      <c r="U1322" s="22">
        <f t="shared" si="126"/>
        <v>0</v>
      </c>
      <c r="V1322" s="20"/>
    </row>
    <row r="1323" spans="1:22" s="294" customFormat="1" ht="14.4">
      <c r="A1323" s="389" t="s">
        <v>1688</v>
      </c>
      <c r="B1323" s="2" t="s">
        <v>77</v>
      </c>
      <c r="C1323" s="395">
        <v>200</v>
      </c>
      <c r="D1323" s="405">
        <v>300</v>
      </c>
      <c r="E1323" s="395">
        <v>103</v>
      </c>
      <c r="F1323" s="395">
        <v>97.8</v>
      </c>
      <c r="G1323" s="21">
        <f t="shared" si="122"/>
        <v>6.024</v>
      </c>
      <c r="H1323" s="20">
        <f t="shared" si="127"/>
        <v>6.18</v>
      </c>
      <c r="I1323" s="20">
        <f t="shared" si="128"/>
        <v>6.024</v>
      </c>
      <c r="J1323" s="20">
        <f t="shared" si="129"/>
        <v>3.9409999999999998</v>
      </c>
      <c r="K1323" s="75"/>
      <c r="L1323" s="767"/>
      <c r="M1323" s="20"/>
      <c r="N1323" s="20"/>
      <c r="O1323" s="20"/>
      <c r="P1323" s="20"/>
      <c r="Q1323" s="21"/>
      <c r="R1323" s="22" t="s">
        <v>16</v>
      </c>
      <c r="S1323" s="22" t="s">
        <v>16</v>
      </c>
      <c r="T1323" s="20"/>
      <c r="U1323" s="22">
        <f t="shared" si="126"/>
        <v>0</v>
      </c>
      <c r="V1323" s="20"/>
    </row>
    <row r="1324" spans="1:22" s="294" customFormat="1" ht="14.4">
      <c r="A1324" s="388" t="s">
        <v>1689</v>
      </c>
      <c r="B1324" s="2" t="s">
        <v>77</v>
      </c>
      <c r="C1324" s="399">
        <v>220</v>
      </c>
      <c r="D1324" s="406">
        <v>300</v>
      </c>
      <c r="E1324" s="399">
        <v>103</v>
      </c>
      <c r="F1324" s="399">
        <v>80</v>
      </c>
      <c r="G1324" s="21">
        <f t="shared" si="122"/>
        <v>6.0389999999999997</v>
      </c>
      <c r="H1324" s="20">
        <f t="shared" si="127"/>
        <v>6.798</v>
      </c>
      <c r="I1324" s="20">
        <f t="shared" si="128"/>
        <v>6.0389999999999997</v>
      </c>
      <c r="J1324" s="20">
        <f t="shared" si="129"/>
        <v>3.5459999999999998</v>
      </c>
      <c r="K1324" s="75"/>
      <c r="L1324" s="767"/>
      <c r="M1324" s="20"/>
      <c r="N1324" s="20"/>
      <c r="O1324" s="20"/>
      <c r="P1324" s="20"/>
      <c r="Q1324" s="21"/>
      <c r="R1324" s="22" t="s">
        <v>16</v>
      </c>
      <c r="S1324" s="22" t="s">
        <v>16</v>
      </c>
      <c r="T1324" s="20"/>
      <c r="U1324" s="22">
        <f t="shared" si="126"/>
        <v>0</v>
      </c>
      <c r="V1324" s="20"/>
    </row>
    <row r="1325" spans="1:22" s="294" customFormat="1" ht="14.4">
      <c r="A1325" s="388" t="s">
        <v>1690</v>
      </c>
      <c r="B1325" s="2" t="s">
        <v>77</v>
      </c>
      <c r="C1325" s="399">
        <v>220</v>
      </c>
      <c r="D1325" s="406">
        <v>300</v>
      </c>
      <c r="E1325" s="399">
        <v>103</v>
      </c>
      <c r="F1325" s="399">
        <v>88</v>
      </c>
      <c r="G1325" s="21">
        <f t="shared" si="122"/>
        <v>6.3029999999999999</v>
      </c>
      <c r="H1325" s="20">
        <f t="shared" si="127"/>
        <v>6.798</v>
      </c>
      <c r="I1325" s="20">
        <f t="shared" si="128"/>
        <v>6.3029999999999999</v>
      </c>
      <c r="J1325" s="20">
        <f t="shared" si="129"/>
        <v>3.9009999999999998</v>
      </c>
      <c r="K1325" s="75"/>
      <c r="L1325" s="767"/>
      <c r="M1325" s="20"/>
      <c r="N1325" s="20"/>
      <c r="O1325" s="20"/>
      <c r="P1325" s="20"/>
      <c r="Q1325" s="21"/>
      <c r="R1325" s="22" t="s">
        <v>16</v>
      </c>
      <c r="S1325" s="22" t="s">
        <v>16</v>
      </c>
      <c r="T1325" s="20"/>
      <c r="U1325" s="22">
        <f t="shared" si="126"/>
        <v>0</v>
      </c>
      <c r="V1325" s="20"/>
    </row>
    <row r="1326" spans="1:22" s="294" customFormat="1" ht="14.4">
      <c r="A1326" s="388" t="s">
        <v>1691</v>
      </c>
      <c r="B1326" s="2" t="s">
        <v>77</v>
      </c>
      <c r="C1326" s="399">
        <v>220</v>
      </c>
      <c r="D1326" s="406">
        <v>300</v>
      </c>
      <c r="E1326" s="399">
        <v>103</v>
      </c>
      <c r="F1326" s="399">
        <v>91.5</v>
      </c>
      <c r="G1326" s="21">
        <f t="shared" si="122"/>
        <v>6.4184999999999999</v>
      </c>
      <c r="H1326" s="20">
        <f t="shared" si="127"/>
        <v>6.798</v>
      </c>
      <c r="I1326" s="20">
        <f t="shared" si="128"/>
        <v>6.4189999999999996</v>
      </c>
      <c r="J1326" s="20">
        <f t="shared" si="129"/>
        <v>4.056</v>
      </c>
      <c r="K1326" s="75"/>
      <c r="L1326" s="767"/>
      <c r="M1326" s="20"/>
      <c r="N1326" s="20"/>
      <c r="O1326" s="20"/>
      <c r="P1326" s="20"/>
      <c r="Q1326" s="21"/>
      <c r="R1326" s="22" t="s">
        <v>16</v>
      </c>
      <c r="S1326" s="22" t="s">
        <v>16</v>
      </c>
      <c r="T1326" s="20"/>
      <c r="U1326" s="22">
        <f t="shared" si="126"/>
        <v>0</v>
      </c>
      <c r="V1326" s="20"/>
    </row>
    <row r="1327" spans="1:22" s="294" customFormat="1" ht="14.4">
      <c r="A1327" s="388" t="s">
        <v>1692</v>
      </c>
      <c r="B1327" s="2" t="s">
        <v>77</v>
      </c>
      <c r="C1327" s="399">
        <v>220</v>
      </c>
      <c r="D1327" s="406">
        <v>300</v>
      </c>
      <c r="E1327" s="399">
        <v>103</v>
      </c>
      <c r="F1327" s="399">
        <v>94</v>
      </c>
      <c r="G1327" s="21">
        <f t="shared" si="122"/>
        <v>6.5010000000000003</v>
      </c>
      <c r="H1327" s="20">
        <f t="shared" si="127"/>
        <v>6.798</v>
      </c>
      <c r="I1327" s="20">
        <f t="shared" si="128"/>
        <v>6.5010000000000003</v>
      </c>
      <c r="J1327" s="20">
        <f t="shared" si="129"/>
        <v>4.1669999999999998</v>
      </c>
      <c r="K1327" s="75"/>
      <c r="L1327" s="767"/>
      <c r="M1327" s="20"/>
      <c r="N1327" s="20"/>
      <c r="O1327" s="20"/>
      <c r="P1327" s="20"/>
      <c r="Q1327" s="21"/>
      <c r="R1327" s="22" t="s">
        <v>16</v>
      </c>
      <c r="S1327" s="22" t="s">
        <v>16</v>
      </c>
      <c r="T1327" s="20"/>
      <c r="U1327" s="22">
        <f t="shared" si="126"/>
        <v>0</v>
      </c>
      <c r="V1327" s="20"/>
    </row>
    <row r="1328" spans="1:22" s="294" customFormat="1" ht="14.4">
      <c r="A1328" s="388" t="s">
        <v>1693</v>
      </c>
      <c r="B1328" s="2" t="s">
        <v>77</v>
      </c>
      <c r="C1328" s="399">
        <v>220</v>
      </c>
      <c r="D1328" s="406">
        <v>300</v>
      </c>
      <c r="E1328" s="399">
        <v>103</v>
      </c>
      <c r="F1328" s="399">
        <v>95.5</v>
      </c>
      <c r="G1328" s="21">
        <f t="shared" si="122"/>
        <v>6.5505000000000004</v>
      </c>
      <c r="H1328" s="20">
        <f t="shared" si="127"/>
        <v>6.798</v>
      </c>
      <c r="I1328" s="20">
        <f t="shared" si="128"/>
        <v>6.5510000000000002</v>
      </c>
      <c r="J1328" s="20">
        <f t="shared" si="129"/>
        <v>4.234</v>
      </c>
      <c r="K1328" s="75"/>
      <c r="L1328" s="767"/>
      <c r="M1328" s="20"/>
      <c r="N1328" s="20"/>
      <c r="O1328" s="20"/>
      <c r="P1328" s="20"/>
      <c r="Q1328" s="21"/>
      <c r="R1328" s="22" t="s">
        <v>16</v>
      </c>
      <c r="S1328" s="22" t="s">
        <v>16</v>
      </c>
      <c r="T1328" s="20"/>
      <c r="U1328" s="22">
        <f t="shared" si="126"/>
        <v>0</v>
      </c>
      <c r="V1328" s="20"/>
    </row>
    <row r="1329" spans="1:22" s="294" customFormat="1" ht="14.4">
      <c r="A1329" s="388" t="s">
        <v>1694</v>
      </c>
      <c r="B1329" s="2" t="s">
        <v>77</v>
      </c>
      <c r="C1329" s="399">
        <v>220</v>
      </c>
      <c r="D1329" s="406">
        <v>300</v>
      </c>
      <c r="E1329" s="399">
        <v>103</v>
      </c>
      <c r="F1329" s="399">
        <v>97.3</v>
      </c>
      <c r="G1329" s="21">
        <f t="shared" si="122"/>
        <v>6.6098999999999997</v>
      </c>
      <c r="H1329" s="20">
        <f t="shared" si="127"/>
        <v>6.798</v>
      </c>
      <c r="I1329" s="20">
        <f t="shared" si="128"/>
        <v>6.61</v>
      </c>
      <c r="J1329" s="20">
        <f t="shared" si="129"/>
        <v>4.3129999999999997</v>
      </c>
      <c r="K1329" s="75"/>
      <c r="L1329" s="767"/>
      <c r="M1329" s="20"/>
      <c r="N1329" s="20"/>
      <c r="O1329" s="20"/>
      <c r="P1329" s="20"/>
      <c r="Q1329" s="21"/>
      <c r="R1329" s="22" t="s">
        <v>16</v>
      </c>
      <c r="S1329" s="22" t="s">
        <v>16</v>
      </c>
      <c r="T1329" s="20"/>
      <c r="U1329" s="22">
        <f t="shared" si="126"/>
        <v>0</v>
      </c>
      <c r="V1329" s="20"/>
    </row>
    <row r="1330" spans="1:22" s="294" customFormat="1" ht="14.4">
      <c r="A1330" s="427" t="s">
        <v>1695</v>
      </c>
      <c r="B1330" s="2" t="s">
        <v>77</v>
      </c>
      <c r="C1330" s="428">
        <v>250</v>
      </c>
      <c r="D1330" s="421">
        <v>300</v>
      </c>
      <c r="E1330" s="428">
        <v>103</v>
      </c>
      <c r="F1330" s="428">
        <v>77</v>
      </c>
      <c r="G1330" s="21">
        <f t="shared" si="122"/>
        <v>6.75</v>
      </c>
      <c r="H1330" s="20">
        <f t="shared" si="127"/>
        <v>7.7249999999999996</v>
      </c>
      <c r="I1330" s="20">
        <f t="shared" si="128"/>
        <v>6.75</v>
      </c>
      <c r="J1330" s="20">
        <f t="shared" si="129"/>
        <v>3.879</v>
      </c>
      <c r="K1330" s="75"/>
      <c r="L1330" s="767"/>
      <c r="M1330" s="20"/>
      <c r="N1330" s="20"/>
      <c r="O1330" s="20"/>
      <c r="P1330" s="20"/>
      <c r="Q1330" s="21"/>
      <c r="R1330" s="22" t="s">
        <v>16</v>
      </c>
      <c r="S1330" s="22" t="s">
        <v>16</v>
      </c>
      <c r="T1330" s="20"/>
      <c r="U1330" s="22">
        <f t="shared" si="126"/>
        <v>0</v>
      </c>
      <c r="V1330" s="20"/>
    </row>
    <row r="1331" spans="1:22" s="294" customFormat="1" ht="14.4">
      <c r="A1331" s="427" t="s">
        <v>1696</v>
      </c>
      <c r="B1331" s="2" t="s">
        <v>77</v>
      </c>
      <c r="C1331" s="428">
        <v>250</v>
      </c>
      <c r="D1331" s="421">
        <v>300</v>
      </c>
      <c r="E1331" s="428">
        <v>103</v>
      </c>
      <c r="F1331" s="428">
        <v>85.5</v>
      </c>
      <c r="G1331" s="21">
        <f t="shared" si="122"/>
        <v>7.0687499999999996</v>
      </c>
      <c r="H1331" s="20">
        <f t="shared" si="127"/>
        <v>7.7249999999999996</v>
      </c>
      <c r="I1331" s="20">
        <f t="shared" si="128"/>
        <v>7.069</v>
      </c>
      <c r="J1331" s="20">
        <f t="shared" si="129"/>
        <v>4.3070000000000004</v>
      </c>
      <c r="K1331" s="75"/>
      <c r="L1331" s="767"/>
      <c r="M1331" s="20"/>
      <c r="N1331" s="20"/>
      <c r="O1331" s="20"/>
      <c r="P1331" s="20"/>
      <c r="Q1331" s="21"/>
      <c r="R1331" s="22" t="s">
        <v>16</v>
      </c>
      <c r="S1331" s="22" t="s">
        <v>16</v>
      </c>
      <c r="T1331" s="20"/>
      <c r="U1331" s="22">
        <f t="shared" si="126"/>
        <v>0</v>
      </c>
      <c r="V1331" s="20"/>
    </row>
    <row r="1332" spans="1:22" s="294" customFormat="1" ht="14.4">
      <c r="A1332" s="427" t="s">
        <v>1697</v>
      </c>
      <c r="B1332" s="2" t="s">
        <v>77</v>
      </c>
      <c r="C1332" s="428">
        <v>250</v>
      </c>
      <c r="D1332" s="421">
        <v>300</v>
      </c>
      <c r="E1332" s="428">
        <v>103</v>
      </c>
      <c r="F1332" s="428">
        <v>90</v>
      </c>
      <c r="G1332" s="21">
        <f t="shared" si="122"/>
        <v>7.2374999999999998</v>
      </c>
      <c r="H1332" s="20">
        <f t="shared" si="127"/>
        <v>7.7249999999999996</v>
      </c>
      <c r="I1332" s="20">
        <f t="shared" si="128"/>
        <v>7.2380000000000004</v>
      </c>
      <c r="J1332" s="20">
        <f t="shared" si="129"/>
        <v>4.5339999999999998</v>
      </c>
      <c r="K1332" s="75"/>
      <c r="L1332" s="767"/>
      <c r="M1332" s="20"/>
      <c r="N1332" s="20"/>
      <c r="O1332" s="20"/>
      <c r="P1332" s="20"/>
      <c r="Q1332" s="21"/>
      <c r="R1332" s="22" t="s">
        <v>16</v>
      </c>
      <c r="S1332" s="22" t="s">
        <v>16</v>
      </c>
      <c r="T1332" s="20"/>
      <c r="U1332" s="22">
        <f t="shared" si="126"/>
        <v>0</v>
      </c>
      <c r="V1332" s="20"/>
    </row>
    <row r="1333" spans="1:22" s="294" customFormat="1" ht="14.4">
      <c r="A1333" s="427" t="s">
        <v>1698</v>
      </c>
      <c r="B1333" s="2" t="s">
        <v>77</v>
      </c>
      <c r="C1333" s="428">
        <v>250</v>
      </c>
      <c r="D1333" s="421">
        <v>300</v>
      </c>
      <c r="E1333" s="428">
        <v>103</v>
      </c>
      <c r="F1333" s="428">
        <v>92.7</v>
      </c>
      <c r="G1333" s="21">
        <f t="shared" si="122"/>
        <v>7.3387500000000001</v>
      </c>
      <c r="H1333" s="20">
        <f t="shared" si="127"/>
        <v>7.7249999999999996</v>
      </c>
      <c r="I1333" s="20">
        <f t="shared" si="128"/>
        <v>7.3390000000000004</v>
      </c>
      <c r="J1333" s="20">
        <f t="shared" si="129"/>
        <v>4.67</v>
      </c>
      <c r="K1333" s="75"/>
      <c r="L1333" s="767"/>
      <c r="M1333" s="20"/>
      <c r="N1333" s="20"/>
      <c r="O1333" s="20"/>
      <c r="P1333" s="20"/>
      <c r="Q1333" s="21"/>
      <c r="R1333" s="22" t="s">
        <v>16</v>
      </c>
      <c r="S1333" s="22" t="s">
        <v>16</v>
      </c>
      <c r="T1333" s="20"/>
      <c r="U1333" s="22">
        <f t="shared" si="126"/>
        <v>0</v>
      </c>
      <c r="V1333" s="20"/>
    </row>
    <row r="1334" spans="1:22" s="294" customFormat="1" ht="14.4">
      <c r="A1334" s="427" t="s">
        <v>1699</v>
      </c>
      <c r="B1334" s="2" t="s">
        <v>77</v>
      </c>
      <c r="C1334" s="428">
        <v>250</v>
      </c>
      <c r="D1334" s="421">
        <v>300</v>
      </c>
      <c r="E1334" s="428">
        <v>103</v>
      </c>
      <c r="F1334" s="428">
        <v>94.5</v>
      </c>
      <c r="G1334" s="21">
        <f t="shared" si="122"/>
        <v>7.40625</v>
      </c>
      <c r="H1334" s="20">
        <f t="shared" si="127"/>
        <v>7.7249999999999996</v>
      </c>
      <c r="I1334" s="20">
        <f t="shared" si="128"/>
        <v>7.4059999999999997</v>
      </c>
      <c r="J1334" s="20">
        <f t="shared" si="129"/>
        <v>4.76</v>
      </c>
      <c r="K1334" s="75"/>
      <c r="L1334" s="767"/>
      <c r="M1334" s="20"/>
      <c r="N1334" s="20"/>
      <c r="O1334" s="20"/>
      <c r="P1334" s="20"/>
      <c r="Q1334" s="21"/>
      <c r="R1334" s="22" t="s">
        <v>16</v>
      </c>
      <c r="S1334" s="22" t="s">
        <v>16</v>
      </c>
      <c r="T1334" s="20"/>
      <c r="U1334" s="22">
        <f t="shared" si="126"/>
        <v>0</v>
      </c>
      <c r="V1334" s="20"/>
    </row>
    <row r="1335" spans="1:22" s="294" customFormat="1" ht="14.4">
      <c r="A1335" s="427" t="s">
        <v>1700</v>
      </c>
      <c r="B1335" s="2" t="s">
        <v>77</v>
      </c>
      <c r="C1335" s="400">
        <v>250</v>
      </c>
      <c r="D1335" s="421">
        <v>300</v>
      </c>
      <c r="E1335" s="400">
        <v>103</v>
      </c>
      <c r="F1335" s="400">
        <v>96.5</v>
      </c>
      <c r="G1335" s="21">
        <f t="shared" si="122"/>
        <v>7.4812500000000002</v>
      </c>
      <c r="H1335" s="20">
        <f t="shared" si="127"/>
        <v>7.7249999999999996</v>
      </c>
      <c r="I1335" s="20">
        <f t="shared" si="128"/>
        <v>7.4809999999999999</v>
      </c>
      <c r="J1335" s="20">
        <f t="shared" si="129"/>
        <v>4.8609999999999998</v>
      </c>
      <c r="K1335" s="75"/>
      <c r="L1335" s="767"/>
      <c r="M1335" s="20"/>
      <c r="N1335" s="20"/>
      <c r="O1335" s="20"/>
      <c r="P1335" s="20"/>
      <c r="Q1335" s="21"/>
      <c r="R1335" s="22" t="s">
        <v>16</v>
      </c>
      <c r="S1335" s="22" t="s">
        <v>16</v>
      </c>
      <c r="T1335" s="20"/>
      <c r="U1335" s="22">
        <f t="shared" si="126"/>
        <v>0</v>
      </c>
      <c r="V1335" s="20"/>
    </row>
    <row r="1336" spans="1:22" s="294" customFormat="1" ht="14.4">
      <c r="A1336" s="425" t="s">
        <v>1701</v>
      </c>
      <c r="B1336" s="2" t="s">
        <v>77</v>
      </c>
      <c r="C1336" s="426">
        <v>300</v>
      </c>
      <c r="D1336" s="419">
        <v>300</v>
      </c>
      <c r="E1336" s="426">
        <v>103</v>
      </c>
      <c r="F1336" s="426">
        <v>71.599999999999994</v>
      </c>
      <c r="G1336" s="21">
        <f t="shared" si="122"/>
        <v>7.8570000000000002</v>
      </c>
      <c r="H1336" s="20">
        <f t="shared" si="127"/>
        <v>9.27</v>
      </c>
      <c r="I1336" s="20">
        <f t="shared" si="128"/>
        <v>7.8570000000000002</v>
      </c>
      <c r="J1336" s="20">
        <f t="shared" si="129"/>
        <v>4.3280000000000003</v>
      </c>
      <c r="K1336" s="75"/>
      <c r="L1336" s="767"/>
      <c r="M1336" s="20"/>
      <c r="N1336" s="20"/>
      <c r="O1336" s="20"/>
      <c r="P1336" s="20"/>
      <c r="Q1336" s="21"/>
      <c r="R1336" s="22" t="s">
        <v>16</v>
      </c>
      <c r="S1336" s="22" t="s">
        <v>16</v>
      </c>
      <c r="T1336" s="20"/>
      <c r="U1336" s="22">
        <f t="shared" si="126"/>
        <v>0</v>
      </c>
      <c r="V1336" s="20"/>
    </row>
    <row r="1337" spans="1:22" s="294" customFormat="1" ht="14.4">
      <c r="A1337" s="425" t="s">
        <v>1702</v>
      </c>
      <c r="B1337" s="2" t="s">
        <v>77</v>
      </c>
      <c r="C1337" s="426">
        <v>300</v>
      </c>
      <c r="D1337" s="419">
        <v>300</v>
      </c>
      <c r="E1337" s="426">
        <v>103</v>
      </c>
      <c r="F1337" s="426">
        <v>82</v>
      </c>
      <c r="G1337" s="21">
        <f t="shared" si="122"/>
        <v>8.3249999999999993</v>
      </c>
      <c r="H1337" s="20">
        <f t="shared" si="127"/>
        <v>9.27</v>
      </c>
      <c r="I1337" s="20">
        <f t="shared" si="128"/>
        <v>8.3249999999999993</v>
      </c>
      <c r="J1337" s="20">
        <f t="shared" si="129"/>
        <v>4.9569999999999999</v>
      </c>
      <c r="K1337" s="75"/>
      <c r="L1337" s="767"/>
      <c r="M1337" s="20"/>
      <c r="N1337" s="20"/>
      <c r="O1337" s="20"/>
      <c r="P1337" s="20"/>
      <c r="Q1337" s="21"/>
      <c r="R1337" s="22" t="s">
        <v>16</v>
      </c>
      <c r="S1337" s="22" t="s">
        <v>16</v>
      </c>
      <c r="T1337" s="20"/>
      <c r="U1337" s="22">
        <f t="shared" si="126"/>
        <v>0</v>
      </c>
      <c r="V1337" s="20"/>
    </row>
    <row r="1338" spans="1:22" s="294" customFormat="1" ht="14.4">
      <c r="A1338" s="425" t="s">
        <v>1703</v>
      </c>
      <c r="B1338" s="2" t="s">
        <v>77</v>
      </c>
      <c r="C1338" s="426">
        <v>300</v>
      </c>
      <c r="D1338" s="419">
        <v>300</v>
      </c>
      <c r="E1338" s="426">
        <v>103</v>
      </c>
      <c r="F1338" s="426">
        <v>87.3</v>
      </c>
      <c r="G1338" s="21">
        <f t="shared" si="122"/>
        <v>8.5634999999999994</v>
      </c>
      <c r="H1338" s="20">
        <f t="shared" si="127"/>
        <v>9.27</v>
      </c>
      <c r="I1338" s="20">
        <f t="shared" si="128"/>
        <v>8.5640000000000001</v>
      </c>
      <c r="J1338" s="20">
        <f t="shared" si="129"/>
        <v>5.2770000000000001</v>
      </c>
      <c r="K1338" s="75"/>
      <c r="L1338" s="767"/>
      <c r="M1338" s="20"/>
      <c r="N1338" s="20"/>
      <c r="O1338" s="20"/>
      <c r="P1338" s="20"/>
      <c r="Q1338" s="21"/>
      <c r="R1338" s="22" t="s">
        <v>16</v>
      </c>
      <c r="S1338" s="22" t="s">
        <v>16</v>
      </c>
      <c r="T1338" s="20"/>
      <c r="U1338" s="22">
        <f t="shared" si="126"/>
        <v>0</v>
      </c>
      <c r="V1338" s="20"/>
    </row>
    <row r="1339" spans="1:22" s="294" customFormat="1" ht="14.4">
      <c r="A1339" s="425" t="s">
        <v>1704</v>
      </c>
      <c r="B1339" s="2" t="s">
        <v>77</v>
      </c>
      <c r="C1339" s="426">
        <v>300</v>
      </c>
      <c r="D1339" s="419">
        <v>300</v>
      </c>
      <c r="E1339" s="426">
        <v>103</v>
      </c>
      <c r="F1339" s="426">
        <v>95</v>
      </c>
      <c r="G1339" s="21">
        <f t="shared" si="122"/>
        <v>8.91</v>
      </c>
      <c r="H1339" s="20">
        <f t="shared" si="127"/>
        <v>9.27</v>
      </c>
      <c r="I1339" s="20">
        <f t="shared" si="128"/>
        <v>8.91</v>
      </c>
      <c r="J1339" s="20">
        <f t="shared" si="129"/>
        <v>5.7430000000000003</v>
      </c>
      <c r="K1339" s="75"/>
      <c r="L1339" s="767"/>
      <c r="M1339" s="20"/>
      <c r="N1339" s="20"/>
      <c r="O1339" s="20"/>
      <c r="P1339" s="20"/>
      <c r="Q1339" s="21"/>
      <c r="R1339" s="22" t="s">
        <v>16</v>
      </c>
      <c r="S1339" s="22" t="s">
        <v>16</v>
      </c>
      <c r="T1339" s="20"/>
      <c r="U1339" s="22">
        <f t="shared" si="126"/>
        <v>0</v>
      </c>
      <c r="V1339" s="20"/>
    </row>
    <row r="1340" spans="1:22" s="294" customFormat="1" ht="14.4">
      <c r="A1340" s="429" t="s">
        <v>1705</v>
      </c>
      <c r="B1340" s="2" t="s">
        <v>77</v>
      </c>
      <c r="C1340" s="430">
        <v>350</v>
      </c>
      <c r="D1340" s="418">
        <v>300</v>
      </c>
      <c r="E1340" s="430">
        <v>103</v>
      </c>
      <c r="F1340" s="430">
        <v>84.5</v>
      </c>
      <c r="G1340" s="21">
        <f t="shared" si="122"/>
        <v>9.84375</v>
      </c>
      <c r="H1340" s="20">
        <f t="shared" si="127"/>
        <v>10.815</v>
      </c>
      <c r="I1340" s="20">
        <f t="shared" si="128"/>
        <v>9.8439999999999994</v>
      </c>
      <c r="J1340" s="20">
        <f t="shared" si="129"/>
        <v>5.9589999999999996</v>
      </c>
      <c r="K1340" s="75"/>
      <c r="L1340" s="767"/>
      <c r="M1340" s="20"/>
      <c r="N1340" s="20"/>
      <c r="O1340" s="20"/>
      <c r="P1340" s="20"/>
      <c r="Q1340" s="21"/>
      <c r="R1340" s="22" t="s">
        <v>16</v>
      </c>
      <c r="S1340" s="22" t="s">
        <v>16</v>
      </c>
      <c r="T1340" s="20"/>
      <c r="U1340" s="22">
        <f t="shared" si="126"/>
        <v>0</v>
      </c>
      <c r="V1340" s="20"/>
    </row>
    <row r="1341" spans="1:22" s="294" customFormat="1" ht="15" thickBot="1">
      <c r="A1341" s="432" t="s">
        <v>1706</v>
      </c>
      <c r="B1341" s="2" t="s">
        <v>77</v>
      </c>
      <c r="C1341" s="433">
        <v>350</v>
      </c>
      <c r="D1341" s="420">
        <v>300</v>
      </c>
      <c r="E1341" s="433">
        <v>103</v>
      </c>
      <c r="F1341" s="433">
        <v>94</v>
      </c>
      <c r="G1341" s="21">
        <f t="shared" si="122"/>
        <v>10.342499999999999</v>
      </c>
      <c r="H1341" s="20">
        <f t="shared" si="127"/>
        <v>10.815</v>
      </c>
      <c r="I1341" s="20">
        <f t="shared" si="128"/>
        <v>10.343</v>
      </c>
      <c r="J1341" s="20">
        <f t="shared" si="129"/>
        <v>6.6289999999999996</v>
      </c>
      <c r="K1341" s="75"/>
      <c r="L1341" s="767"/>
      <c r="M1341" s="20"/>
      <c r="N1341" s="20"/>
      <c r="O1341" s="20"/>
      <c r="P1341" s="20"/>
      <c r="Q1341" s="21"/>
      <c r="R1341" s="22" t="s">
        <v>16</v>
      </c>
      <c r="S1341" s="22" t="s">
        <v>16</v>
      </c>
      <c r="T1341" s="20"/>
      <c r="U1341" s="22">
        <f t="shared" si="126"/>
        <v>0</v>
      </c>
      <c r="V1341" s="20"/>
    </row>
    <row r="1342" spans="1:22" s="294" customFormat="1">
      <c r="A1342" s="293"/>
      <c r="B1342" s="2"/>
      <c r="C1342" s="2"/>
      <c r="D1342" s="2"/>
      <c r="E1342" s="2"/>
      <c r="F1342" s="2"/>
      <c r="G1342" s="21" t="str">
        <f t="shared" si="130"/>
        <v/>
      </c>
      <c r="H1342" s="20">
        <f t="shared" si="127"/>
        <v>0</v>
      </c>
      <c r="I1342" s="20" t="str">
        <f t="shared" si="128"/>
        <v>-</v>
      </c>
      <c r="J1342" s="20" t="str">
        <f t="shared" si="129"/>
        <v>-</v>
      </c>
      <c r="K1342" s="75"/>
      <c r="L1342" s="767"/>
      <c r="M1342" s="20"/>
      <c r="N1342" s="20"/>
      <c r="O1342" s="20"/>
      <c r="P1342" s="20"/>
      <c r="Q1342" s="21"/>
      <c r="R1342" s="22" t="s">
        <v>16</v>
      </c>
      <c r="S1342" s="22" t="s">
        <v>16</v>
      </c>
      <c r="T1342" s="20"/>
      <c r="U1342" s="22">
        <f t="shared" si="126"/>
        <v>0</v>
      </c>
      <c r="V1342" s="20"/>
    </row>
    <row r="1343" spans="1:22" s="294" customFormat="1" ht="14.4">
      <c r="A1343" s="389" t="s">
        <v>1707</v>
      </c>
      <c r="B1343" s="2" t="s">
        <v>77</v>
      </c>
      <c r="C1343" s="395">
        <v>200</v>
      </c>
      <c r="D1343" s="405">
        <v>250</v>
      </c>
      <c r="E1343" s="395">
        <v>103</v>
      </c>
      <c r="F1343" s="395">
        <v>82</v>
      </c>
      <c r="G1343" s="21">
        <f t="shared" si="122"/>
        <v>4.625</v>
      </c>
      <c r="H1343" s="20">
        <f t="shared" si="127"/>
        <v>5.15</v>
      </c>
      <c r="I1343" s="20">
        <f t="shared" si="128"/>
        <v>4.625</v>
      </c>
      <c r="J1343" s="20">
        <f t="shared" si="129"/>
        <v>2.895</v>
      </c>
      <c r="K1343" s="75"/>
      <c r="L1343" s="767"/>
      <c r="M1343" s="20"/>
      <c r="N1343" s="20"/>
      <c r="O1343" s="20"/>
      <c r="P1343" s="20"/>
      <c r="Q1343" s="21"/>
      <c r="R1343" s="22" t="s">
        <v>16</v>
      </c>
      <c r="S1343" s="22" t="s">
        <v>16</v>
      </c>
      <c r="T1343" s="20"/>
      <c r="U1343" s="22">
        <f t="shared" si="126"/>
        <v>0</v>
      </c>
      <c r="V1343" s="20"/>
    </row>
    <row r="1344" spans="1:22" s="294" customFormat="1" ht="14.4">
      <c r="A1344" s="389" t="s">
        <v>1708</v>
      </c>
      <c r="B1344" s="2" t="s">
        <v>77</v>
      </c>
      <c r="C1344" s="395">
        <v>200</v>
      </c>
      <c r="D1344" s="405">
        <v>250</v>
      </c>
      <c r="E1344" s="395">
        <v>103</v>
      </c>
      <c r="F1344" s="395">
        <v>89</v>
      </c>
      <c r="G1344" s="21">
        <f t="shared" si="122"/>
        <v>4.8</v>
      </c>
      <c r="H1344" s="20">
        <f t="shared" si="127"/>
        <v>5.15</v>
      </c>
      <c r="I1344" s="20">
        <f t="shared" si="128"/>
        <v>4.8</v>
      </c>
      <c r="J1344" s="20">
        <f t="shared" si="129"/>
        <v>3.1419999999999999</v>
      </c>
      <c r="K1344" s="75"/>
      <c r="L1344" s="767"/>
      <c r="M1344" s="20"/>
      <c r="N1344" s="20"/>
      <c r="O1344" s="20"/>
      <c r="P1344" s="20"/>
      <c r="Q1344" s="21"/>
      <c r="R1344" s="22" t="s">
        <v>16</v>
      </c>
      <c r="S1344" s="22" t="s">
        <v>16</v>
      </c>
      <c r="T1344" s="20"/>
      <c r="U1344" s="22">
        <f t="shared" si="126"/>
        <v>0</v>
      </c>
      <c r="V1344" s="20"/>
    </row>
    <row r="1345" spans="1:22" s="294" customFormat="1" ht="14.4">
      <c r="A1345" s="389" t="s">
        <v>1709</v>
      </c>
      <c r="B1345" s="2" t="s">
        <v>77</v>
      </c>
      <c r="C1345" s="395">
        <v>200</v>
      </c>
      <c r="D1345" s="405">
        <v>250</v>
      </c>
      <c r="E1345" s="395">
        <v>103</v>
      </c>
      <c r="F1345" s="395">
        <v>96.2</v>
      </c>
      <c r="G1345" s="21">
        <f t="shared" si="122"/>
        <v>4.9800000000000004</v>
      </c>
      <c r="H1345" s="20">
        <f t="shared" si="127"/>
        <v>5.15</v>
      </c>
      <c r="I1345" s="20">
        <f t="shared" si="128"/>
        <v>4.9800000000000004</v>
      </c>
      <c r="J1345" s="20">
        <f t="shared" si="129"/>
        <v>3.3959999999999999</v>
      </c>
      <c r="K1345" s="75"/>
      <c r="L1345" s="767"/>
      <c r="M1345" s="20"/>
      <c r="N1345" s="20"/>
      <c r="O1345" s="20"/>
      <c r="P1345" s="20"/>
      <c r="Q1345" s="21"/>
      <c r="R1345" s="22" t="s">
        <v>16</v>
      </c>
      <c r="S1345" s="22" t="s">
        <v>16</v>
      </c>
      <c r="T1345" s="20"/>
      <c r="U1345" s="22">
        <f t="shared" si="126"/>
        <v>0</v>
      </c>
      <c r="V1345" s="20"/>
    </row>
    <row r="1346" spans="1:22" s="294" customFormat="1" ht="14.4">
      <c r="A1346" s="388" t="s">
        <v>1710</v>
      </c>
      <c r="B1346" s="2" t="s">
        <v>77</v>
      </c>
      <c r="C1346" s="399">
        <v>220</v>
      </c>
      <c r="D1346" s="406">
        <v>250</v>
      </c>
      <c r="E1346" s="399">
        <v>103</v>
      </c>
      <c r="F1346" s="399">
        <v>88</v>
      </c>
      <c r="G1346" s="21">
        <f t="shared" si="122"/>
        <v>5.2525000000000004</v>
      </c>
      <c r="H1346" s="20">
        <f t="shared" si="127"/>
        <v>5.665</v>
      </c>
      <c r="I1346" s="20">
        <f t="shared" si="128"/>
        <v>5.2530000000000001</v>
      </c>
      <c r="J1346" s="20">
        <f t="shared" si="129"/>
        <v>3.4169999999999998</v>
      </c>
      <c r="K1346" s="75"/>
      <c r="L1346" s="767"/>
      <c r="M1346" s="20"/>
      <c r="N1346" s="20"/>
      <c r="O1346" s="20"/>
      <c r="P1346" s="20"/>
      <c r="Q1346" s="21"/>
      <c r="R1346" s="22" t="s">
        <v>16</v>
      </c>
      <c r="S1346" s="22" t="s">
        <v>16</v>
      </c>
      <c r="T1346" s="20"/>
      <c r="U1346" s="22">
        <f t="shared" si="126"/>
        <v>0</v>
      </c>
      <c r="V1346" s="20"/>
    </row>
    <row r="1347" spans="1:22" s="294" customFormat="1" ht="14.4">
      <c r="A1347" s="388" t="s">
        <v>1711</v>
      </c>
      <c r="B1347" s="2" t="s">
        <v>77</v>
      </c>
      <c r="C1347" s="399">
        <v>220</v>
      </c>
      <c r="D1347" s="406">
        <v>250</v>
      </c>
      <c r="E1347" s="399">
        <v>103</v>
      </c>
      <c r="F1347" s="399">
        <v>91.5</v>
      </c>
      <c r="G1347" s="21">
        <f t="shared" si="122"/>
        <v>5.3487499999999999</v>
      </c>
      <c r="H1347" s="20">
        <f t="shared" si="127"/>
        <v>5.665</v>
      </c>
      <c r="I1347" s="20">
        <f t="shared" si="128"/>
        <v>5.3490000000000002</v>
      </c>
      <c r="J1347" s="20">
        <f t="shared" si="129"/>
        <v>3.5529999999999999</v>
      </c>
      <c r="K1347" s="75"/>
      <c r="L1347" s="767"/>
      <c r="M1347" s="20"/>
      <c r="N1347" s="20"/>
      <c r="O1347" s="20"/>
      <c r="P1347" s="20"/>
      <c r="Q1347" s="21"/>
      <c r="R1347" s="22" t="s">
        <v>16</v>
      </c>
      <c r="S1347" s="22" t="s">
        <v>16</v>
      </c>
      <c r="T1347" s="20"/>
      <c r="U1347" s="22">
        <f t="shared" si="126"/>
        <v>0</v>
      </c>
      <c r="V1347" s="20"/>
    </row>
    <row r="1348" spans="1:22" s="294" customFormat="1" ht="14.4">
      <c r="A1348" s="388" t="s">
        <v>1712</v>
      </c>
      <c r="B1348" s="2" t="s">
        <v>77</v>
      </c>
      <c r="C1348" s="399">
        <v>220</v>
      </c>
      <c r="D1348" s="406">
        <v>250</v>
      </c>
      <c r="E1348" s="399">
        <v>103</v>
      </c>
      <c r="F1348" s="399">
        <v>95.5</v>
      </c>
      <c r="G1348" s="21">
        <f t="shared" si="122"/>
        <v>5.4587500000000002</v>
      </c>
      <c r="H1348" s="20">
        <f t="shared" si="127"/>
        <v>5.665</v>
      </c>
      <c r="I1348" s="20">
        <f t="shared" si="128"/>
        <v>5.4589999999999996</v>
      </c>
      <c r="J1348" s="20">
        <f t="shared" si="129"/>
        <v>3.7080000000000002</v>
      </c>
      <c r="K1348" s="75"/>
      <c r="L1348" s="767"/>
      <c r="M1348" s="20"/>
      <c r="N1348" s="20"/>
      <c r="O1348" s="20"/>
      <c r="P1348" s="20"/>
      <c r="Q1348" s="21"/>
      <c r="R1348" s="22" t="s">
        <v>16</v>
      </c>
      <c r="S1348" s="22" t="s">
        <v>16</v>
      </c>
      <c r="T1348" s="20"/>
      <c r="U1348" s="22">
        <f t="shared" si="126"/>
        <v>0</v>
      </c>
      <c r="V1348" s="20"/>
    </row>
    <row r="1349" spans="1:22" s="294" customFormat="1" ht="14.4">
      <c r="A1349" s="388" t="s">
        <v>1713</v>
      </c>
      <c r="B1349" s="2" t="s">
        <v>77</v>
      </c>
      <c r="C1349" s="399">
        <v>220</v>
      </c>
      <c r="D1349" s="406">
        <v>250</v>
      </c>
      <c r="E1349" s="399">
        <v>103</v>
      </c>
      <c r="F1349" s="399">
        <v>97.3</v>
      </c>
      <c r="G1349" s="21">
        <f t="shared" si="122"/>
        <v>5.5082500000000003</v>
      </c>
      <c r="H1349" s="20">
        <f t="shared" si="127"/>
        <v>5.665</v>
      </c>
      <c r="I1349" s="20">
        <f t="shared" si="128"/>
        <v>5.508</v>
      </c>
      <c r="J1349" s="20">
        <f t="shared" si="129"/>
        <v>3.778</v>
      </c>
      <c r="K1349" s="75"/>
      <c r="L1349" s="767"/>
      <c r="M1349" s="20"/>
      <c r="N1349" s="20"/>
      <c r="O1349" s="20"/>
      <c r="P1349" s="20"/>
      <c r="Q1349" s="21"/>
      <c r="R1349" s="22" t="s">
        <v>16</v>
      </c>
      <c r="S1349" s="22" t="s">
        <v>16</v>
      </c>
      <c r="T1349" s="20"/>
      <c r="U1349" s="22">
        <f t="shared" si="126"/>
        <v>0</v>
      </c>
      <c r="V1349" s="20"/>
    </row>
    <row r="1350" spans="1:22" s="294" customFormat="1" ht="14.4">
      <c r="A1350" s="427" t="s">
        <v>1714</v>
      </c>
      <c r="B1350" s="2" t="s">
        <v>77</v>
      </c>
      <c r="C1350" s="428">
        <v>250</v>
      </c>
      <c r="D1350" s="421">
        <v>250</v>
      </c>
      <c r="E1350" s="428">
        <v>103</v>
      </c>
      <c r="F1350" s="428">
        <v>90</v>
      </c>
      <c r="G1350" s="21">
        <f t="shared" ref="G1350:G1351" si="131">IF(B1350="","",AVERAGE(E1350:F1350)*D1350*C1350/10^6)</f>
        <v>6.03125</v>
      </c>
      <c r="H1350" s="20">
        <f t="shared" si="127"/>
        <v>6.4379999999999997</v>
      </c>
      <c r="I1350" s="20">
        <f t="shared" si="128"/>
        <v>6.0309999999999997</v>
      </c>
      <c r="J1350" s="20">
        <f t="shared" si="129"/>
        <v>3.9710000000000001</v>
      </c>
      <c r="K1350" s="75"/>
      <c r="L1350" s="767"/>
      <c r="M1350" s="20"/>
      <c r="N1350" s="20"/>
      <c r="O1350" s="20"/>
      <c r="P1350" s="20"/>
      <c r="Q1350" s="21"/>
      <c r="R1350" s="22" t="s">
        <v>16</v>
      </c>
      <c r="S1350" s="22" t="s">
        <v>16</v>
      </c>
      <c r="T1350" s="20"/>
      <c r="U1350" s="22">
        <f t="shared" ref="U1350:U1352" si="132">U1349</f>
        <v>0</v>
      </c>
      <c r="V1350" s="20"/>
    </row>
    <row r="1351" spans="1:22" s="294" customFormat="1" ht="14.4">
      <c r="A1351" s="427" t="s">
        <v>1715</v>
      </c>
      <c r="B1351" s="2" t="s">
        <v>77</v>
      </c>
      <c r="C1351" s="400">
        <v>250</v>
      </c>
      <c r="D1351" s="421">
        <v>250</v>
      </c>
      <c r="E1351" s="400">
        <v>103</v>
      </c>
      <c r="F1351" s="400">
        <v>96.5</v>
      </c>
      <c r="G1351" s="21">
        <f t="shared" si="131"/>
        <v>6.234375</v>
      </c>
      <c r="H1351" s="20">
        <f t="shared" si="127"/>
        <v>6.4379999999999997</v>
      </c>
      <c r="I1351" s="20">
        <f t="shared" si="128"/>
        <v>6.234</v>
      </c>
      <c r="J1351" s="20">
        <f t="shared" si="129"/>
        <v>4.258</v>
      </c>
      <c r="K1351" s="75"/>
      <c r="L1351" s="767"/>
      <c r="M1351" s="20"/>
      <c r="N1351" s="20"/>
      <c r="O1351" s="20"/>
      <c r="P1351" s="20"/>
      <c r="Q1351" s="21"/>
      <c r="R1351" s="22" t="s">
        <v>16</v>
      </c>
      <c r="S1351" s="22" t="s">
        <v>16</v>
      </c>
      <c r="T1351" s="20"/>
      <c r="U1351" s="22">
        <f t="shared" si="132"/>
        <v>0</v>
      </c>
      <c r="V1351" s="20"/>
    </row>
    <row r="1352" spans="1:22" s="294" customFormat="1" ht="13.8" thickBot="1">
      <c r="A1352" s="546"/>
      <c r="B1352" s="81"/>
      <c r="C1352" s="81"/>
      <c r="D1352" s="81"/>
      <c r="E1352" s="81"/>
      <c r="F1352" s="81"/>
      <c r="G1352" s="103"/>
      <c r="H1352" s="82"/>
      <c r="I1352" s="82"/>
      <c r="J1352" s="82"/>
      <c r="K1352" s="83"/>
      <c r="L1352" s="767"/>
      <c r="M1352" s="20"/>
      <c r="N1352" s="20"/>
      <c r="O1352" s="20"/>
      <c r="P1352" s="20"/>
      <c r="Q1352" s="21"/>
      <c r="R1352" s="22" t="s">
        <v>16</v>
      </c>
      <c r="S1352" s="22" t="s">
        <v>16</v>
      </c>
      <c r="T1352" s="20"/>
      <c r="U1352" s="22">
        <f t="shared" si="132"/>
        <v>0</v>
      </c>
      <c r="V1352" s="20"/>
    </row>
    <row r="1353" spans="1:22" s="294" customFormat="1" ht="13.8" thickBot="1">
      <c r="B1353" s="2"/>
      <c r="C1353" s="2"/>
      <c r="D1353" s="2"/>
      <c r="E1353" s="2"/>
      <c r="F1353" s="2"/>
      <c r="G1353" s="345"/>
      <c r="L1353" s="767"/>
      <c r="Q1353" s="541"/>
      <c r="R1353" s="2"/>
    </row>
    <row r="1354" spans="1:22" ht="25.2" thickBot="1">
      <c r="A1354" s="64" t="s">
        <v>121</v>
      </c>
      <c r="B1354" s="72"/>
      <c r="C1354" s="73"/>
      <c r="D1354" s="73"/>
      <c r="E1354" s="73"/>
      <c r="F1354" s="73"/>
      <c r="G1354" s="104"/>
      <c r="H1354" s="73"/>
      <c r="I1354" s="73"/>
      <c r="J1354" s="73"/>
      <c r="K1354" s="73"/>
      <c r="L1354" s="93"/>
      <c r="M1354" s="20"/>
      <c r="N1354" s="20"/>
      <c r="O1354" s="20"/>
      <c r="P1354" s="20"/>
      <c r="Q1354" s="21"/>
      <c r="R1354" s="22"/>
      <c r="S1354" s="22"/>
      <c r="T1354" s="20"/>
      <c r="U1354" s="22"/>
      <c r="V1354" s="20"/>
    </row>
    <row r="1355" spans="1:22" ht="12.75" customHeight="1">
      <c r="A1355" s="456" t="str">
        <f>IF(OR(B1355="PA",B1355="H"),B1355&amp;""&amp;C1355&amp;"x"&amp;D1355&amp;"x"&amp;E1355,IF(OR(B1355="A1",B1355="A2",B1355="A3",B1355="AE",B1355="A2/3",B1355="A3/4",B1355="C1",B1355="C2",B1355="C3",B1355="CE",B1355="C2/3",B1355="C3/4"),B1355&amp;"-"&amp;C1355&amp;"x"&amp;D1355&amp;"x"&amp;E1355&amp;"-"&amp;F1355,B1355&amp;"-"&amp;C1355&amp;"x"&amp;D1355&amp;"-"&amp;E1355&amp;"x"&amp;F1355))</f>
        <v>H416x101x8</v>
      </c>
      <c r="B1355" s="457" t="s">
        <v>1997</v>
      </c>
      <c r="C1355" s="457">
        <v>416</v>
      </c>
      <c r="D1355" s="457">
        <v>101</v>
      </c>
      <c r="E1355" s="457">
        <v>8</v>
      </c>
      <c r="F1355" s="457">
        <v>8</v>
      </c>
      <c r="G1355" s="475">
        <f t="shared" ref="G1355:G1386" si="133">(C1355*D1355*E1355)*10^-6</f>
        <v>0.33612799999999998</v>
      </c>
      <c r="H1355" s="740" t="s">
        <v>1721</v>
      </c>
      <c r="I1355" s="741"/>
      <c r="J1355" s="741"/>
      <c r="K1355" s="742"/>
      <c r="L1355" s="739"/>
      <c r="M1355" s="20"/>
      <c r="N1355" s="20"/>
      <c r="O1355" s="20"/>
      <c r="P1355" s="20"/>
      <c r="Q1355" s="21"/>
      <c r="R1355" s="22" t="s">
        <v>16</v>
      </c>
      <c r="S1355" s="22" t="s">
        <v>16</v>
      </c>
      <c r="T1355" s="20"/>
      <c r="U1355" s="20"/>
      <c r="V1355" s="20"/>
    </row>
    <row r="1356" spans="1:22" ht="12.75" customHeight="1">
      <c r="A1356" s="456" t="str">
        <f t="shared" ref="A1356:A1419" si="134">IF(OR(B1356="PA",B1356="H"),B1356&amp;""&amp;C1356&amp;"x"&amp;D1356&amp;"x"&amp;E1356,IF(OR(B1356="A1",B1356="A2",B1356="A3",B1356="AE",B1356="A2/3",B1356="A3/4",B1356="C1",B1356="C2",B1356="C3",B1356="CE",B1356="C2/3",B1356="C3/4"),B1356&amp;"-"&amp;C1356&amp;"x"&amp;D1356&amp;"x"&amp;E1356&amp;"-"&amp;F1356,B1356&amp;"-"&amp;C1356&amp;"x"&amp;D1356&amp;"-"&amp;E1356&amp;"x"&amp;F1356))</f>
        <v>H416x101x10</v>
      </c>
      <c r="B1356" s="457" t="s">
        <v>1997</v>
      </c>
      <c r="C1356" s="457">
        <v>416</v>
      </c>
      <c r="D1356" s="457">
        <v>101</v>
      </c>
      <c r="E1356" s="457">
        <v>10</v>
      </c>
      <c r="F1356" s="457">
        <v>10</v>
      </c>
      <c r="G1356" s="476">
        <f t="shared" si="133"/>
        <v>0.42015999999999998</v>
      </c>
      <c r="H1356" s="743"/>
      <c r="I1356" s="744"/>
      <c r="J1356" s="744"/>
      <c r="K1356" s="745"/>
      <c r="L1356" s="739"/>
      <c r="M1356" s="20"/>
      <c r="N1356" s="20"/>
      <c r="O1356" s="20"/>
      <c r="P1356" s="20"/>
      <c r="Q1356" s="21"/>
      <c r="R1356" s="22" t="s">
        <v>16</v>
      </c>
      <c r="S1356" s="22" t="s">
        <v>16</v>
      </c>
      <c r="T1356" s="20"/>
      <c r="U1356" s="20"/>
      <c r="V1356" s="20"/>
    </row>
    <row r="1357" spans="1:22" ht="12.75" customHeight="1">
      <c r="A1357" s="456" t="str">
        <f t="shared" si="134"/>
        <v>H416x101x12</v>
      </c>
      <c r="B1357" s="457" t="s">
        <v>1997</v>
      </c>
      <c r="C1357" s="457">
        <v>416</v>
      </c>
      <c r="D1357" s="457">
        <v>101</v>
      </c>
      <c r="E1357" s="457">
        <v>12</v>
      </c>
      <c r="F1357" s="457">
        <v>12</v>
      </c>
      <c r="G1357" s="476">
        <f t="shared" si="133"/>
        <v>0.50419199999999997</v>
      </c>
      <c r="H1357" s="743"/>
      <c r="I1357" s="744"/>
      <c r="J1357" s="744"/>
      <c r="K1357" s="745"/>
      <c r="L1357" s="739"/>
      <c r="M1357" s="20"/>
      <c r="N1357" s="20"/>
      <c r="O1357" s="20"/>
      <c r="P1357" s="20"/>
      <c r="Q1357" s="21"/>
      <c r="R1357" s="22" t="s">
        <v>16</v>
      </c>
      <c r="S1357" s="22" t="s">
        <v>16</v>
      </c>
      <c r="T1357" s="20"/>
      <c r="U1357" s="20"/>
      <c r="V1357" s="20"/>
    </row>
    <row r="1358" spans="1:22" ht="12.75" customHeight="1">
      <c r="A1358" s="456" t="str">
        <f t="shared" si="134"/>
        <v>H416x101x13</v>
      </c>
      <c r="B1358" s="457" t="s">
        <v>1997</v>
      </c>
      <c r="C1358" s="457">
        <v>416</v>
      </c>
      <c r="D1358" s="457">
        <v>101</v>
      </c>
      <c r="E1358" s="457">
        <v>13</v>
      </c>
      <c r="F1358" s="457">
        <f>E1358</f>
        <v>13</v>
      </c>
      <c r="G1358" s="476">
        <f t="shared" si="133"/>
        <v>0.54620800000000003</v>
      </c>
      <c r="H1358" s="743"/>
      <c r="I1358" s="744"/>
      <c r="J1358" s="744"/>
      <c r="K1358" s="745"/>
      <c r="L1358" s="739"/>
      <c r="M1358" s="20"/>
      <c r="N1358" s="20"/>
      <c r="O1358" s="20"/>
      <c r="P1358" s="20"/>
      <c r="Q1358" s="21"/>
      <c r="R1358" s="22" t="s">
        <v>16</v>
      </c>
      <c r="S1358" s="22" t="s">
        <v>16</v>
      </c>
      <c r="T1358" s="20"/>
      <c r="U1358" s="20"/>
      <c r="V1358" s="20"/>
    </row>
    <row r="1359" spans="1:22" ht="12.75" customHeight="1">
      <c r="A1359" s="456" t="str">
        <f t="shared" si="134"/>
        <v>H416x101x16</v>
      </c>
      <c r="B1359" s="457" t="s">
        <v>1997</v>
      </c>
      <c r="C1359" s="457">
        <v>416</v>
      </c>
      <c r="D1359" s="457">
        <v>101</v>
      </c>
      <c r="E1359" s="457">
        <v>16</v>
      </c>
      <c r="F1359" s="457">
        <f>E1359</f>
        <v>16</v>
      </c>
      <c r="G1359" s="476">
        <f t="shared" si="133"/>
        <v>0.67225599999999996</v>
      </c>
      <c r="H1359" s="743"/>
      <c r="I1359" s="744"/>
      <c r="J1359" s="744"/>
      <c r="K1359" s="745"/>
      <c r="L1359" s="739"/>
      <c r="M1359" s="20"/>
      <c r="N1359" s="20"/>
      <c r="O1359" s="20"/>
      <c r="P1359" s="20"/>
      <c r="Q1359" s="21"/>
      <c r="R1359" s="22" t="s">
        <v>16</v>
      </c>
      <c r="S1359" s="22" t="s">
        <v>16</v>
      </c>
      <c r="T1359" s="20"/>
      <c r="U1359" s="20"/>
      <c r="V1359" s="20"/>
    </row>
    <row r="1360" spans="1:22" ht="12.75" customHeight="1">
      <c r="A1360" s="456" t="str">
        <f t="shared" si="134"/>
        <v>H416x101x19</v>
      </c>
      <c r="B1360" s="457" t="s">
        <v>1997</v>
      </c>
      <c r="C1360" s="457">
        <v>416</v>
      </c>
      <c r="D1360" s="457">
        <v>101</v>
      </c>
      <c r="E1360" s="457">
        <v>19</v>
      </c>
      <c r="F1360" s="457">
        <f>E1360</f>
        <v>19</v>
      </c>
      <c r="G1360" s="476">
        <f t="shared" si="133"/>
        <v>0.79830400000000001</v>
      </c>
      <c r="H1360" s="743"/>
      <c r="I1360" s="744"/>
      <c r="J1360" s="744"/>
      <c r="K1360" s="745"/>
      <c r="L1360" s="739"/>
      <c r="M1360" s="20"/>
      <c r="N1360" s="20"/>
      <c r="O1360" s="20"/>
      <c r="P1360" s="20"/>
      <c r="Q1360" s="21"/>
      <c r="R1360" s="22" t="s">
        <v>16</v>
      </c>
      <c r="S1360" s="22" t="s">
        <v>16</v>
      </c>
      <c r="T1360" s="20"/>
      <c r="U1360" s="20"/>
      <c r="V1360" s="20"/>
    </row>
    <row r="1361" spans="1:22" ht="12.75" customHeight="1" thickBot="1">
      <c r="A1361" s="456" t="str">
        <f t="shared" si="134"/>
        <v>H416x101x25</v>
      </c>
      <c r="B1361" s="457" t="s">
        <v>1997</v>
      </c>
      <c r="C1361" s="457">
        <v>416</v>
      </c>
      <c r="D1361" s="457">
        <v>101</v>
      </c>
      <c r="E1361" s="457">
        <v>25</v>
      </c>
      <c r="F1361" s="457">
        <f>E1361</f>
        <v>25</v>
      </c>
      <c r="G1361" s="476">
        <f t="shared" si="133"/>
        <v>1.0504</v>
      </c>
      <c r="H1361" s="761"/>
      <c r="I1361" s="762"/>
      <c r="J1361" s="762"/>
      <c r="K1361" s="763"/>
      <c r="L1361" s="739"/>
      <c r="M1361" s="20"/>
      <c r="N1361" s="20"/>
      <c r="O1361" s="20"/>
      <c r="P1361" s="20"/>
      <c r="Q1361" s="21"/>
      <c r="R1361" s="22" t="s">
        <v>16</v>
      </c>
      <c r="S1361" s="22" t="s">
        <v>16</v>
      </c>
      <c r="T1361" s="20"/>
      <c r="U1361" s="20"/>
      <c r="V1361" s="20"/>
    </row>
    <row r="1362" spans="1:22" ht="12.75" customHeight="1">
      <c r="A1362" s="454" t="str">
        <f t="shared" si="134"/>
        <v>H914x152x25</v>
      </c>
      <c r="B1362" s="455" t="s">
        <v>1997</v>
      </c>
      <c r="C1362" s="455">
        <v>914</v>
      </c>
      <c r="D1362" s="455">
        <v>152</v>
      </c>
      <c r="E1362" s="455">
        <v>25</v>
      </c>
      <c r="F1362" s="455">
        <f t="shared" ref="F1362:F1373" si="135">E1362</f>
        <v>25</v>
      </c>
      <c r="G1362" s="476">
        <f t="shared" si="133"/>
        <v>3.4731999999999998</v>
      </c>
      <c r="H1362" s="740" t="s">
        <v>1716</v>
      </c>
      <c r="I1362" s="741"/>
      <c r="J1362" s="741"/>
      <c r="K1362" s="742"/>
      <c r="L1362" s="739"/>
      <c r="M1362" s="20"/>
      <c r="N1362" s="20"/>
      <c r="O1362" s="20"/>
      <c r="P1362" s="20"/>
      <c r="Q1362" s="21"/>
      <c r="R1362" s="22" t="s">
        <v>16</v>
      </c>
      <c r="S1362" s="22" t="s">
        <v>16</v>
      </c>
      <c r="T1362" s="20"/>
      <c r="U1362" s="20"/>
      <c r="V1362" s="20"/>
    </row>
    <row r="1363" spans="1:22" ht="12.75" customHeight="1">
      <c r="A1363" s="454" t="str">
        <f t="shared" si="134"/>
        <v>H914x152x38</v>
      </c>
      <c r="B1363" s="455" t="s">
        <v>1997</v>
      </c>
      <c r="C1363" s="455">
        <v>914</v>
      </c>
      <c r="D1363" s="455">
        <v>152</v>
      </c>
      <c r="E1363" s="455">
        <v>38</v>
      </c>
      <c r="F1363" s="455">
        <f t="shared" si="135"/>
        <v>38</v>
      </c>
      <c r="G1363" s="476">
        <f t="shared" si="133"/>
        <v>5.2792639999999995</v>
      </c>
      <c r="H1363" s="743"/>
      <c r="I1363" s="744"/>
      <c r="J1363" s="744"/>
      <c r="K1363" s="745"/>
      <c r="L1363" s="739"/>
      <c r="M1363" s="20"/>
      <c r="N1363" s="20"/>
      <c r="O1363" s="20"/>
      <c r="P1363" s="20"/>
      <c r="Q1363" s="21"/>
      <c r="R1363" s="22" t="s">
        <v>16</v>
      </c>
      <c r="S1363" s="22" t="s">
        <v>16</v>
      </c>
      <c r="T1363" s="20"/>
      <c r="U1363" s="20"/>
      <c r="V1363" s="20"/>
    </row>
    <row r="1364" spans="1:22" ht="12.75" customHeight="1">
      <c r="A1364" s="454" t="str">
        <f t="shared" si="134"/>
        <v>H914x152x50</v>
      </c>
      <c r="B1364" s="455" t="s">
        <v>1997</v>
      </c>
      <c r="C1364" s="455">
        <v>914</v>
      </c>
      <c r="D1364" s="455">
        <v>152</v>
      </c>
      <c r="E1364" s="455">
        <v>50</v>
      </c>
      <c r="F1364" s="455">
        <f t="shared" si="135"/>
        <v>50</v>
      </c>
      <c r="G1364" s="476">
        <f t="shared" si="133"/>
        <v>6.9463999999999997</v>
      </c>
      <c r="H1364" s="743"/>
      <c r="I1364" s="744"/>
      <c r="J1364" s="744"/>
      <c r="K1364" s="745"/>
      <c r="L1364" s="739"/>
      <c r="M1364" s="20"/>
      <c r="N1364" s="20"/>
      <c r="O1364" s="20"/>
      <c r="P1364" s="20"/>
      <c r="Q1364" s="21"/>
      <c r="R1364" s="22" t="s">
        <v>16</v>
      </c>
      <c r="S1364" s="22" t="s">
        <v>16</v>
      </c>
      <c r="T1364" s="20"/>
      <c r="U1364" s="20"/>
      <c r="V1364" s="20"/>
    </row>
    <row r="1365" spans="1:22" ht="12.75" customHeight="1">
      <c r="A1365" s="454" t="str">
        <f t="shared" si="134"/>
        <v>H914x152x63</v>
      </c>
      <c r="B1365" s="455" t="s">
        <v>1997</v>
      </c>
      <c r="C1365" s="455">
        <v>914</v>
      </c>
      <c r="D1365" s="455">
        <v>152</v>
      </c>
      <c r="E1365" s="455">
        <v>63</v>
      </c>
      <c r="F1365" s="455">
        <f t="shared" si="135"/>
        <v>63</v>
      </c>
      <c r="G1365" s="476">
        <f t="shared" si="133"/>
        <v>8.7524639999999998</v>
      </c>
      <c r="H1365" s="743"/>
      <c r="I1365" s="744"/>
      <c r="J1365" s="744"/>
      <c r="K1365" s="745"/>
      <c r="L1365" s="739"/>
      <c r="M1365" s="20"/>
      <c r="N1365" s="20"/>
      <c r="O1365" s="20"/>
      <c r="P1365" s="20"/>
      <c r="Q1365" s="21"/>
      <c r="R1365" s="22" t="s">
        <v>16</v>
      </c>
      <c r="S1365" s="22" t="s">
        <v>16</v>
      </c>
      <c r="T1365" s="20"/>
      <c r="U1365" s="20"/>
      <c r="V1365" s="20"/>
    </row>
    <row r="1366" spans="1:22" ht="12.75" customHeight="1">
      <c r="A1366" s="454" t="str">
        <f t="shared" si="134"/>
        <v>H914x152x75</v>
      </c>
      <c r="B1366" s="455" t="s">
        <v>1997</v>
      </c>
      <c r="C1366" s="455">
        <v>914</v>
      </c>
      <c r="D1366" s="455">
        <v>152</v>
      </c>
      <c r="E1366" s="455">
        <v>75</v>
      </c>
      <c r="F1366" s="455">
        <f t="shared" si="135"/>
        <v>75</v>
      </c>
      <c r="G1366" s="476">
        <f t="shared" si="133"/>
        <v>10.419599999999999</v>
      </c>
      <c r="H1366" s="743"/>
      <c r="I1366" s="744"/>
      <c r="J1366" s="744"/>
      <c r="K1366" s="745"/>
      <c r="L1366" s="739"/>
      <c r="M1366" s="20"/>
      <c r="N1366" s="20"/>
      <c r="O1366" s="20"/>
      <c r="P1366" s="20"/>
      <c r="Q1366" s="21"/>
      <c r="R1366" s="22" t="s">
        <v>16</v>
      </c>
      <c r="S1366" s="22" t="s">
        <v>16</v>
      </c>
      <c r="T1366" s="20"/>
      <c r="U1366" s="20"/>
      <c r="V1366" s="20"/>
    </row>
    <row r="1367" spans="1:22" ht="12.75" customHeight="1" thickBot="1">
      <c r="A1367" s="454" t="str">
        <f t="shared" si="134"/>
        <v>H914x152x100</v>
      </c>
      <c r="B1367" s="455" t="s">
        <v>1997</v>
      </c>
      <c r="C1367" s="455">
        <v>914</v>
      </c>
      <c r="D1367" s="455">
        <v>152</v>
      </c>
      <c r="E1367" s="455">
        <v>100</v>
      </c>
      <c r="F1367" s="455">
        <f t="shared" si="135"/>
        <v>100</v>
      </c>
      <c r="G1367" s="476">
        <f t="shared" si="133"/>
        <v>13.892799999999999</v>
      </c>
      <c r="H1367" s="743"/>
      <c r="I1367" s="744"/>
      <c r="J1367" s="744"/>
      <c r="K1367" s="745"/>
      <c r="L1367" s="739"/>
      <c r="M1367" s="20"/>
      <c r="N1367" s="20"/>
      <c r="O1367" s="20"/>
      <c r="P1367" s="20"/>
      <c r="Q1367" s="21"/>
      <c r="R1367" s="22" t="s">
        <v>16</v>
      </c>
      <c r="S1367" s="22" t="s">
        <v>16</v>
      </c>
      <c r="T1367" s="20"/>
      <c r="U1367" s="20"/>
      <c r="V1367" s="20"/>
    </row>
    <row r="1368" spans="1:22" ht="13.5" customHeight="1">
      <c r="A1368" s="458" t="str">
        <f t="shared" si="134"/>
        <v>H914x305x25</v>
      </c>
      <c r="B1368" s="459" t="s">
        <v>1997</v>
      </c>
      <c r="C1368" s="459">
        <v>914</v>
      </c>
      <c r="D1368" s="459">
        <v>305</v>
      </c>
      <c r="E1368" s="459">
        <v>25</v>
      </c>
      <c r="F1368" s="459">
        <f t="shared" si="135"/>
        <v>25</v>
      </c>
      <c r="G1368" s="476">
        <f t="shared" si="133"/>
        <v>6.9692499999999997</v>
      </c>
      <c r="H1368" s="740" t="s">
        <v>1716</v>
      </c>
      <c r="I1368" s="741"/>
      <c r="J1368" s="741"/>
      <c r="K1368" s="742"/>
      <c r="L1368" s="739"/>
      <c r="M1368" s="20"/>
      <c r="N1368" s="20"/>
      <c r="O1368" s="20"/>
      <c r="P1368" s="20"/>
      <c r="Q1368" s="21"/>
      <c r="R1368" s="22" t="s">
        <v>16</v>
      </c>
      <c r="S1368" s="22" t="s">
        <v>16</v>
      </c>
      <c r="T1368" s="20"/>
      <c r="U1368" s="20"/>
      <c r="V1368" s="20"/>
    </row>
    <row r="1369" spans="1:22" ht="12.75" customHeight="1">
      <c r="A1369" s="458" t="str">
        <f t="shared" si="134"/>
        <v>H914x305x38</v>
      </c>
      <c r="B1369" s="459" t="s">
        <v>1997</v>
      </c>
      <c r="C1369" s="459">
        <v>914</v>
      </c>
      <c r="D1369" s="459">
        <v>305</v>
      </c>
      <c r="E1369" s="459">
        <v>38</v>
      </c>
      <c r="F1369" s="459">
        <f t="shared" si="135"/>
        <v>38</v>
      </c>
      <c r="G1369" s="476">
        <f t="shared" si="133"/>
        <v>10.593259999999999</v>
      </c>
      <c r="H1369" s="743"/>
      <c r="I1369" s="744"/>
      <c r="J1369" s="744"/>
      <c r="K1369" s="745"/>
      <c r="L1369" s="739"/>
      <c r="M1369" s="20"/>
      <c r="N1369" s="20"/>
      <c r="O1369" s="20"/>
      <c r="P1369" s="20"/>
      <c r="Q1369" s="21"/>
      <c r="R1369" s="22" t="s">
        <v>16</v>
      </c>
      <c r="S1369" s="22" t="s">
        <v>16</v>
      </c>
      <c r="T1369" s="20"/>
      <c r="U1369" s="20"/>
      <c r="V1369" s="20"/>
    </row>
    <row r="1370" spans="1:22" ht="12.75" customHeight="1">
      <c r="A1370" s="458" t="str">
        <f t="shared" si="134"/>
        <v>H914x305x50</v>
      </c>
      <c r="B1370" s="459" t="s">
        <v>1997</v>
      </c>
      <c r="C1370" s="459">
        <v>914</v>
      </c>
      <c r="D1370" s="459">
        <v>305</v>
      </c>
      <c r="E1370" s="459">
        <v>50</v>
      </c>
      <c r="F1370" s="459">
        <f t="shared" si="135"/>
        <v>50</v>
      </c>
      <c r="G1370" s="476">
        <f t="shared" si="133"/>
        <v>13.938499999999999</v>
      </c>
      <c r="H1370" s="743"/>
      <c r="I1370" s="744"/>
      <c r="J1370" s="744"/>
      <c r="K1370" s="745"/>
      <c r="L1370" s="739"/>
      <c r="M1370" s="20"/>
      <c r="N1370" s="20"/>
      <c r="O1370" s="20"/>
      <c r="P1370" s="20"/>
      <c r="Q1370" s="21"/>
      <c r="R1370" s="22" t="s">
        <v>16</v>
      </c>
      <c r="S1370" s="22" t="s">
        <v>16</v>
      </c>
      <c r="T1370" s="20"/>
      <c r="U1370" s="20"/>
      <c r="V1370" s="20"/>
    </row>
    <row r="1371" spans="1:22" ht="12.75" customHeight="1">
      <c r="A1371" s="458" t="str">
        <f t="shared" si="134"/>
        <v>H914x305x63</v>
      </c>
      <c r="B1371" s="459" t="s">
        <v>1997</v>
      </c>
      <c r="C1371" s="459">
        <v>914</v>
      </c>
      <c r="D1371" s="459">
        <v>305</v>
      </c>
      <c r="E1371" s="459">
        <v>63</v>
      </c>
      <c r="F1371" s="459">
        <f t="shared" si="135"/>
        <v>63</v>
      </c>
      <c r="G1371" s="476">
        <f t="shared" si="133"/>
        <v>17.56251</v>
      </c>
      <c r="H1371" s="743"/>
      <c r="I1371" s="744"/>
      <c r="J1371" s="744"/>
      <c r="K1371" s="745"/>
      <c r="L1371" s="739"/>
      <c r="M1371" s="20"/>
      <c r="N1371" s="20"/>
      <c r="O1371" s="20"/>
      <c r="P1371" s="20"/>
      <c r="Q1371" s="21"/>
      <c r="R1371" s="22" t="s">
        <v>16</v>
      </c>
      <c r="S1371" s="22" t="s">
        <v>16</v>
      </c>
      <c r="T1371" s="20"/>
      <c r="U1371" s="20"/>
      <c r="V1371" s="20"/>
    </row>
    <row r="1372" spans="1:22" ht="12.75" customHeight="1">
      <c r="A1372" s="458" t="str">
        <f t="shared" si="134"/>
        <v>H914x305x75</v>
      </c>
      <c r="B1372" s="459" t="s">
        <v>1997</v>
      </c>
      <c r="C1372" s="459">
        <v>914</v>
      </c>
      <c r="D1372" s="459">
        <v>305</v>
      </c>
      <c r="E1372" s="459">
        <v>75</v>
      </c>
      <c r="F1372" s="459">
        <f t="shared" si="135"/>
        <v>75</v>
      </c>
      <c r="G1372" s="476">
        <f t="shared" si="133"/>
        <v>20.90775</v>
      </c>
      <c r="H1372" s="743"/>
      <c r="I1372" s="744"/>
      <c r="J1372" s="744"/>
      <c r="K1372" s="745"/>
      <c r="L1372" s="739"/>
      <c r="M1372" s="20"/>
      <c r="N1372" s="20"/>
      <c r="O1372" s="20"/>
      <c r="P1372" s="20"/>
      <c r="Q1372" s="21"/>
      <c r="R1372" s="22" t="s">
        <v>16</v>
      </c>
      <c r="S1372" s="22" t="s">
        <v>16</v>
      </c>
      <c r="T1372" s="20"/>
      <c r="U1372" s="20"/>
      <c r="V1372" s="20"/>
    </row>
    <row r="1373" spans="1:22" ht="12.75" customHeight="1" thickBot="1">
      <c r="A1373" s="458" t="str">
        <f t="shared" si="134"/>
        <v>H914x305x100</v>
      </c>
      <c r="B1373" s="459" t="s">
        <v>1997</v>
      </c>
      <c r="C1373" s="459">
        <v>914</v>
      </c>
      <c r="D1373" s="459">
        <v>305</v>
      </c>
      <c r="E1373" s="459">
        <v>100</v>
      </c>
      <c r="F1373" s="459">
        <f t="shared" si="135"/>
        <v>100</v>
      </c>
      <c r="G1373" s="476">
        <f t="shared" si="133"/>
        <v>27.876999999999999</v>
      </c>
      <c r="H1373" s="743"/>
      <c r="I1373" s="744"/>
      <c r="J1373" s="744"/>
      <c r="K1373" s="745"/>
      <c r="L1373" s="739"/>
      <c r="M1373" s="20"/>
      <c r="N1373" s="20"/>
      <c r="O1373" s="20"/>
      <c r="P1373" s="20"/>
      <c r="Q1373" s="21"/>
      <c r="R1373" s="22" t="s">
        <v>16</v>
      </c>
      <c r="S1373" s="22" t="s">
        <v>16</v>
      </c>
      <c r="T1373" s="20"/>
      <c r="U1373" s="20"/>
      <c r="V1373" s="20"/>
    </row>
    <row r="1374" spans="1:22" ht="12.75" customHeight="1">
      <c r="A1374" s="460" t="str">
        <f t="shared" si="134"/>
        <v>H1000x500x20</v>
      </c>
      <c r="B1374" s="461" t="s">
        <v>1997</v>
      </c>
      <c r="C1374" s="461">
        <v>1000</v>
      </c>
      <c r="D1374" s="461">
        <v>500</v>
      </c>
      <c r="E1374" s="461">
        <v>20</v>
      </c>
      <c r="F1374" s="461">
        <f t="shared" ref="F1374" si="136">E1374</f>
        <v>20</v>
      </c>
      <c r="G1374" s="476">
        <f t="shared" si="133"/>
        <v>10</v>
      </c>
      <c r="H1374" s="746" t="s">
        <v>1718</v>
      </c>
      <c r="I1374" s="747"/>
      <c r="J1374" s="747"/>
      <c r="K1374" s="748"/>
      <c r="L1374" s="739"/>
      <c r="M1374" s="20"/>
      <c r="N1374" s="20"/>
      <c r="O1374" s="20"/>
      <c r="P1374" s="20"/>
      <c r="Q1374" s="21"/>
      <c r="R1374" s="22"/>
      <c r="S1374" s="22"/>
      <c r="T1374" s="20"/>
      <c r="U1374" s="20"/>
      <c r="V1374" s="20"/>
    </row>
    <row r="1375" spans="1:22" ht="12.75" customHeight="1">
      <c r="A1375" s="460" t="str">
        <f t="shared" si="134"/>
        <v>H1000x500x25</v>
      </c>
      <c r="B1375" s="461" t="s">
        <v>1997</v>
      </c>
      <c r="C1375" s="461">
        <v>1000</v>
      </c>
      <c r="D1375" s="461">
        <v>500</v>
      </c>
      <c r="E1375" s="461">
        <v>25</v>
      </c>
      <c r="F1375" s="461">
        <f t="shared" ref="F1375:F1384" si="137">E1375</f>
        <v>25</v>
      </c>
      <c r="G1375" s="476">
        <f t="shared" si="133"/>
        <v>12.5</v>
      </c>
      <c r="H1375" s="749"/>
      <c r="I1375" s="750"/>
      <c r="J1375" s="750"/>
      <c r="K1375" s="751"/>
      <c r="L1375" s="739"/>
      <c r="M1375" s="20"/>
      <c r="N1375" s="20"/>
      <c r="O1375" s="20"/>
      <c r="P1375" s="20"/>
      <c r="Q1375" s="21"/>
      <c r="R1375" s="22"/>
      <c r="S1375" s="22"/>
      <c r="T1375" s="20"/>
      <c r="U1375" s="20"/>
      <c r="V1375" s="20"/>
    </row>
    <row r="1376" spans="1:22" ht="12.75" customHeight="1">
      <c r="A1376" s="460" t="str">
        <f t="shared" si="134"/>
        <v>H1000x500x30</v>
      </c>
      <c r="B1376" s="461" t="s">
        <v>1997</v>
      </c>
      <c r="C1376" s="461">
        <v>1000</v>
      </c>
      <c r="D1376" s="461">
        <v>500</v>
      </c>
      <c r="E1376" s="461">
        <v>30</v>
      </c>
      <c r="F1376" s="461">
        <f t="shared" si="137"/>
        <v>30</v>
      </c>
      <c r="G1376" s="476">
        <f t="shared" si="133"/>
        <v>15</v>
      </c>
      <c r="H1376" s="749"/>
      <c r="I1376" s="750"/>
      <c r="J1376" s="750"/>
      <c r="K1376" s="751"/>
      <c r="L1376" s="739"/>
      <c r="M1376" s="20"/>
      <c r="N1376" s="20"/>
      <c r="O1376" s="20"/>
      <c r="P1376" s="20"/>
      <c r="Q1376" s="21"/>
      <c r="R1376" s="22"/>
      <c r="S1376" s="22"/>
      <c r="T1376" s="20"/>
      <c r="U1376" s="20"/>
      <c r="V1376" s="20"/>
    </row>
    <row r="1377" spans="1:22" ht="12.75" customHeight="1">
      <c r="A1377" s="460" t="str">
        <f t="shared" si="134"/>
        <v>H1000x500x40</v>
      </c>
      <c r="B1377" s="461" t="s">
        <v>1997</v>
      </c>
      <c r="C1377" s="461">
        <v>1000</v>
      </c>
      <c r="D1377" s="461">
        <v>500</v>
      </c>
      <c r="E1377" s="461">
        <v>40</v>
      </c>
      <c r="F1377" s="461">
        <f t="shared" si="137"/>
        <v>40</v>
      </c>
      <c r="G1377" s="476">
        <f t="shared" si="133"/>
        <v>20</v>
      </c>
      <c r="H1377" s="749"/>
      <c r="I1377" s="750"/>
      <c r="J1377" s="750"/>
      <c r="K1377" s="751"/>
      <c r="L1377" s="739"/>
      <c r="M1377" s="20"/>
      <c r="N1377" s="20"/>
      <c r="O1377" s="20"/>
      <c r="P1377" s="20"/>
      <c r="Q1377" s="21"/>
      <c r="R1377" s="22"/>
      <c r="S1377" s="22"/>
      <c r="T1377" s="20"/>
      <c r="U1377" s="20"/>
      <c r="V1377" s="20"/>
    </row>
    <row r="1378" spans="1:22" ht="12.75" customHeight="1">
      <c r="A1378" s="460" t="str">
        <f t="shared" si="134"/>
        <v>H1000x500x50</v>
      </c>
      <c r="B1378" s="461" t="s">
        <v>1997</v>
      </c>
      <c r="C1378" s="461">
        <v>1000</v>
      </c>
      <c r="D1378" s="461">
        <v>500</v>
      </c>
      <c r="E1378" s="461">
        <v>50</v>
      </c>
      <c r="F1378" s="461">
        <f t="shared" si="137"/>
        <v>50</v>
      </c>
      <c r="G1378" s="476">
        <f t="shared" si="133"/>
        <v>25</v>
      </c>
      <c r="H1378" s="749"/>
      <c r="I1378" s="750"/>
      <c r="J1378" s="750"/>
      <c r="K1378" s="751"/>
      <c r="L1378" s="739"/>
      <c r="M1378" s="20"/>
      <c r="N1378" s="20"/>
      <c r="O1378" s="20"/>
      <c r="P1378" s="20"/>
      <c r="Q1378" s="21"/>
      <c r="R1378" s="22"/>
      <c r="S1378" s="22"/>
      <c r="T1378" s="20"/>
      <c r="U1378" s="20"/>
      <c r="V1378" s="20"/>
    </row>
    <row r="1379" spans="1:22" ht="12.75" customHeight="1">
      <c r="A1379" s="460" t="str">
        <f t="shared" si="134"/>
        <v>H1000x500x60</v>
      </c>
      <c r="B1379" s="461" t="s">
        <v>1997</v>
      </c>
      <c r="C1379" s="461">
        <v>1000</v>
      </c>
      <c r="D1379" s="461">
        <v>500</v>
      </c>
      <c r="E1379" s="461">
        <v>60</v>
      </c>
      <c r="F1379" s="461">
        <f t="shared" si="137"/>
        <v>60</v>
      </c>
      <c r="G1379" s="476">
        <f t="shared" si="133"/>
        <v>30</v>
      </c>
      <c r="H1379" s="749"/>
      <c r="I1379" s="750"/>
      <c r="J1379" s="750"/>
      <c r="K1379" s="751"/>
      <c r="L1379" s="739"/>
      <c r="M1379" s="20"/>
      <c r="N1379" s="20"/>
      <c r="O1379" s="20"/>
      <c r="P1379" s="20"/>
      <c r="Q1379" s="21"/>
      <c r="R1379" s="22"/>
      <c r="S1379" s="22"/>
      <c r="T1379" s="20"/>
      <c r="U1379" s="20"/>
      <c r="V1379" s="20"/>
    </row>
    <row r="1380" spans="1:22" ht="12.75" customHeight="1">
      <c r="A1380" s="460" t="str">
        <f t="shared" si="134"/>
        <v>H1000x500x65</v>
      </c>
      <c r="B1380" s="461" t="s">
        <v>1997</v>
      </c>
      <c r="C1380" s="461">
        <v>1000</v>
      </c>
      <c r="D1380" s="461">
        <v>500</v>
      </c>
      <c r="E1380" s="461">
        <v>65</v>
      </c>
      <c r="F1380" s="461">
        <f t="shared" si="137"/>
        <v>65</v>
      </c>
      <c r="G1380" s="476">
        <f t="shared" si="133"/>
        <v>32.5</v>
      </c>
      <c r="H1380" s="749"/>
      <c r="I1380" s="750"/>
      <c r="J1380" s="750"/>
      <c r="K1380" s="751"/>
      <c r="L1380" s="739"/>
      <c r="M1380" s="20"/>
      <c r="N1380" s="20"/>
      <c r="O1380" s="20"/>
      <c r="P1380" s="20"/>
      <c r="Q1380" s="21"/>
      <c r="R1380" s="22"/>
      <c r="S1380" s="22"/>
      <c r="T1380" s="20"/>
      <c r="U1380" s="20"/>
      <c r="V1380" s="20"/>
    </row>
    <row r="1381" spans="1:22" ht="12.75" customHeight="1">
      <c r="A1381" s="460" t="str">
        <f t="shared" si="134"/>
        <v>H1000x500x70</v>
      </c>
      <c r="B1381" s="461" t="s">
        <v>1997</v>
      </c>
      <c r="C1381" s="461">
        <v>1000</v>
      </c>
      <c r="D1381" s="461">
        <v>500</v>
      </c>
      <c r="E1381" s="461">
        <v>70</v>
      </c>
      <c r="F1381" s="461">
        <f t="shared" si="137"/>
        <v>70</v>
      </c>
      <c r="G1381" s="476">
        <f t="shared" si="133"/>
        <v>35</v>
      </c>
      <c r="H1381" s="749"/>
      <c r="I1381" s="750"/>
      <c r="J1381" s="750"/>
      <c r="K1381" s="751"/>
      <c r="L1381" s="739"/>
      <c r="M1381" s="20"/>
      <c r="N1381" s="20"/>
      <c r="O1381" s="20"/>
      <c r="P1381" s="20"/>
      <c r="Q1381" s="21"/>
      <c r="R1381" s="22"/>
      <c r="S1381" s="22"/>
      <c r="T1381" s="20"/>
      <c r="U1381" s="20"/>
      <c r="V1381" s="20"/>
    </row>
    <row r="1382" spans="1:22" ht="12.75" customHeight="1">
      <c r="A1382" s="460" t="str">
        <f t="shared" si="134"/>
        <v>H1000x500x75</v>
      </c>
      <c r="B1382" s="461" t="s">
        <v>1997</v>
      </c>
      <c r="C1382" s="461">
        <v>1000</v>
      </c>
      <c r="D1382" s="461">
        <v>500</v>
      </c>
      <c r="E1382" s="461">
        <v>75</v>
      </c>
      <c r="F1382" s="461">
        <f t="shared" si="137"/>
        <v>75</v>
      </c>
      <c r="G1382" s="476">
        <f t="shared" si="133"/>
        <v>37.5</v>
      </c>
      <c r="H1382" s="749"/>
      <c r="I1382" s="750"/>
      <c r="J1382" s="750"/>
      <c r="K1382" s="751"/>
      <c r="L1382" s="739"/>
      <c r="M1382" s="20"/>
      <c r="N1382" s="20"/>
      <c r="O1382" s="20"/>
      <c r="P1382" s="20"/>
      <c r="Q1382" s="21"/>
      <c r="R1382" s="22"/>
      <c r="S1382" s="22"/>
      <c r="T1382" s="20"/>
      <c r="U1382" s="20"/>
      <c r="V1382" s="20"/>
    </row>
    <row r="1383" spans="1:22" ht="12.75" customHeight="1">
      <c r="A1383" s="460" t="str">
        <f t="shared" si="134"/>
        <v>H1000x500x80</v>
      </c>
      <c r="B1383" s="461" t="s">
        <v>1997</v>
      </c>
      <c r="C1383" s="461">
        <v>1000</v>
      </c>
      <c r="D1383" s="461">
        <v>500</v>
      </c>
      <c r="E1383" s="461">
        <v>80</v>
      </c>
      <c r="F1383" s="461">
        <f t="shared" si="137"/>
        <v>80</v>
      </c>
      <c r="G1383" s="476">
        <f t="shared" si="133"/>
        <v>40</v>
      </c>
      <c r="H1383" s="749"/>
      <c r="I1383" s="750"/>
      <c r="J1383" s="750"/>
      <c r="K1383" s="751"/>
      <c r="L1383" s="739"/>
      <c r="M1383" s="20"/>
      <c r="N1383" s="20"/>
      <c r="O1383" s="20"/>
      <c r="P1383" s="20"/>
      <c r="Q1383" s="21"/>
      <c r="R1383" s="22"/>
      <c r="S1383" s="22"/>
      <c r="T1383" s="20"/>
      <c r="U1383" s="20"/>
      <c r="V1383" s="20"/>
    </row>
    <row r="1384" spans="1:22" ht="12.75" customHeight="1" thickBot="1">
      <c r="A1384" s="460" t="str">
        <f t="shared" si="134"/>
        <v>H1000x500x100</v>
      </c>
      <c r="B1384" s="461" t="s">
        <v>1997</v>
      </c>
      <c r="C1384" s="461">
        <v>1000</v>
      </c>
      <c r="D1384" s="461">
        <v>500</v>
      </c>
      <c r="E1384" s="461">
        <v>100</v>
      </c>
      <c r="F1384" s="461">
        <f t="shared" si="137"/>
        <v>100</v>
      </c>
      <c r="G1384" s="476">
        <f t="shared" si="133"/>
        <v>50</v>
      </c>
      <c r="H1384" s="752"/>
      <c r="I1384" s="753"/>
      <c r="J1384" s="753"/>
      <c r="K1384" s="754"/>
      <c r="L1384" s="739"/>
      <c r="M1384" s="20"/>
      <c r="N1384" s="20"/>
      <c r="O1384" s="20"/>
      <c r="P1384" s="20"/>
      <c r="Q1384" s="21"/>
      <c r="R1384" s="22"/>
      <c r="S1384" s="22"/>
      <c r="T1384" s="20"/>
      <c r="U1384" s="20"/>
      <c r="V1384" s="20"/>
    </row>
    <row r="1385" spans="1:22" ht="12.75" customHeight="1">
      <c r="A1385" s="463" t="str">
        <f t="shared" si="134"/>
        <v>H1000x600x25</v>
      </c>
      <c r="B1385" s="464" t="s">
        <v>1997</v>
      </c>
      <c r="C1385" s="464">
        <v>1000</v>
      </c>
      <c r="D1385" s="464">
        <v>600</v>
      </c>
      <c r="E1385" s="464">
        <v>25</v>
      </c>
      <c r="F1385" s="464">
        <f t="shared" ref="F1385:F1387" si="138">E1385</f>
        <v>25</v>
      </c>
      <c r="G1385" s="476">
        <f t="shared" si="133"/>
        <v>15</v>
      </c>
      <c r="H1385" s="746" t="s">
        <v>1719</v>
      </c>
      <c r="I1385" s="747"/>
      <c r="J1385" s="747"/>
      <c r="K1385" s="748"/>
      <c r="L1385" s="739"/>
      <c r="M1385" s="20"/>
      <c r="N1385" s="20"/>
      <c r="O1385" s="20"/>
      <c r="P1385" s="20"/>
      <c r="Q1385" s="21"/>
      <c r="R1385" s="22"/>
      <c r="S1385" s="22"/>
      <c r="T1385" s="20"/>
      <c r="U1385" s="20"/>
      <c r="V1385" s="20"/>
    </row>
    <row r="1386" spans="1:22" ht="12.75" customHeight="1">
      <c r="A1386" s="463" t="str">
        <f t="shared" si="134"/>
        <v>H1000x600x30</v>
      </c>
      <c r="B1386" s="464" t="s">
        <v>1997</v>
      </c>
      <c r="C1386" s="464">
        <v>1000</v>
      </c>
      <c r="D1386" s="464">
        <v>600</v>
      </c>
      <c r="E1386" s="464">
        <v>30</v>
      </c>
      <c r="F1386" s="464">
        <f t="shared" si="138"/>
        <v>30</v>
      </c>
      <c r="G1386" s="476">
        <f t="shared" si="133"/>
        <v>18</v>
      </c>
      <c r="H1386" s="749"/>
      <c r="I1386" s="750"/>
      <c r="J1386" s="750"/>
      <c r="K1386" s="751"/>
      <c r="L1386" s="739"/>
      <c r="M1386" s="20"/>
      <c r="N1386" s="20"/>
      <c r="O1386" s="20"/>
      <c r="P1386" s="20"/>
      <c r="Q1386" s="21"/>
      <c r="R1386" s="22"/>
      <c r="S1386" s="22"/>
      <c r="T1386" s="20"/>
      <c r="U1386" s="20"/>
      <c r="V1386" s="20"/>
    </row>
    <row r="1387" spans="1:22" ht="12.75" customHeight="1">
      <c r="A1387" s="463" t="str">
        <f t="shared" si="134"/>
        <v>H1000x600x40</v>
      </c>
      <c r="B1387" s="464" t="s">
        <v>1997</v>
      </c>
      <c r="C1387" s="464">
        <v>1000</v>
      </c>
      <c r="D1387" s="464">
        <v>600</v>
      </c>
      <c r="E1387" s="464">
        <v>40</v>
      </c>
      <c r="F1387" s="464">
        <f t="shared" si="138"/>
        <v>40</v>
      </c>
      <c r="G1387" s="476">
        <f t="shared" ref="G1387:G1418" si="139">(C1387*D1387*E1387)*10^-6</f>
        <v>24</v>
      </c>
      <c r="H1387" s="749"/>
      <c r="I1387" s="750"/>
      <c r="J1387" s="750"/>
      <c r="K1387" s="751"/>
      <c r="L1387" s="739"/>
      <c r="M1387" s="20"/>
      <c r="N1387" s="20"/>
      <c r="O1387" s="20"/>
      <c r="P1387" s="20"/>
      <c r="Q1387" s="21"/>
      <c r="R1387" s="22"/>
      <c r="S1387" s="22"/>
      <c r="T1387" s="20"/>
      <c r="U1387" s="20"/>
      <c r="V1387" s="20"/>
    </row>
    <row r="1388" spans="1:22" ht="12.75" customHeight="1">
      <c r="A1388" s="463" t="str">
        <f t="shared" si="134"/>
        <v>H1000x600x50</v>
      </c>
      <c r="B1388" s="464" t="s">
        <v>1997</v>
      </c>
      <c r="C1388" s="464">
        <v>1000</v>
      </c>
      <c r="D1388" s="464">
        <v>600</v>
      </c>
      <c r="E1388" s="464">
        <v>50</v>
      </c>
      <c r="F1388" s="464">
        <f t="shared" ref="F1388:F1394" si="140">E1388</f>
        <v>50</v>
      </c>
      <c r="G1388" s="476">
        <f t="shared" si="139"/>
        <v>30</v>
      </c>
      <c r="H1388" s="749"/>
      <c r="I1388" s="750"/>
      <c r="J1388" s="750"/>
      <c r="K1388" s="751"/>
      <c r="L1388" s="739"/>
      <c r="M1388" s="20"/>
      <c r="N1388" s="20"/>
      <c r="O1388" s="20"/>
      <c r="P1388" s="20"/>
      <c r="Q1388" s="21"/>
      <c r="R1388" s="22"/>
      <c r="S1388" s="22"/>
      <c r="T1388" s="20"/>
      <c r="U1388" s="20"/>
      <c r="V1388" s="20"/>
    </row>
    <row r="1389" spans="1:22" ht="12.75" customHeight="1">
      <c r="A1389" s="463" t="str">
        <f t="shared" si="134"/>
        <v>H1000x600x60</v>
      </c>
      <c r="B1389" s="464" t="s">
        <v>1997</v>
      </c>
      <c r="C1389" s="464">
        <v>1000</v>
      </c>
      <c r="D1389" s="464">
        <v>600</v>
      </c>
      <c r="E1389" s="464">
        <v>60</v>
      </c>
      <c r="F1389" s="464">
        <f t="shared" si="140"/>
        <v>60</v>
      </c>
      <c r="G1389" s="476">
        <f t="shared" si="139"/>
        <v>36</v>
      </c>
      <c r="H1389" s="749"/>
      <c r="I1389" s="750"/>
      <c r="J1389" s="750"/>
      <c r="K1389" s="751"/>
      <c r="L1389" s="739"/>
      <c r="M1389" s="20"/>
      <c r="N1389" s="20"/>
      <c r="O1389" s="20"/>
      <c r="P1389" s="20"/>
      <c r="Q1389" s="21"/>
      <c r="R1389" s="22"/>
      <c r="S1389" s="22"/>
      <c r="T1389" s="20"/>
      <c r="U1389" s="20"/>
      <c r="V1389" s="20"/>
    </row>
    <row r="1390" spans="1:22" ht="12.75" customHeight="1">
      <c r="A1390" s="463" t="str">
        <f t="shared" si="134"/>
        <v>H1000x600x70</v>
      </c>
      <c r="B1390" s="464" t="s">
        <v>1997</v>
      </c>
      <c r="C1390" s="464">
        <v>1000</v>
      </c>
      <c r="D1390" s="464">
        <v>600</v>
      </c>
      <c r="E1390" s="464">
        <v>70</v>
      </c>
      <c r="F1390" s="464">
        <f t="shared" si="140"/>
        <v>70</v>
      </c>
      <c r="G1390" s="476">
        <f t="shared" si="139"/>
        <v>42</v>
      </c>
      <c r="H1390" s="749"/>
      <c r="I1390" s="750"/>
      <c r="J1390" s="750"/>
      <c r="K1390" s="751"/>
      <c r="L1390" s="739"/>
      <c r="M1390" s="20"/>
      <c r="N1390" s="20"/>
      <c r="O1390" s="20"/>
      <c r="P1390" s="20"/>
      <c r="Q1390" s="21"/>
      <c r="R1390" s="22"/>
      <c r="S1390" s="22"/>
      <c r="T1390" s="20"/>
      <c r="U1390" s="20"/>
      <c r="V1390" s="20"/>
    </row>
    <row r="1391" spans="1:22" ht="12.75" customHeight="1">
      <c r="A1391" s="463" t="str">
        <f t="shared" si="134"/>
        <v>H1000x600x80</v>
      </c>
      <c r="B1391" s="464" t="s">
        <v>1997</v>
      </c>
      <c r="C1391" s="464">
        <v>1000</v>
      </c>
      <c r="D1391" s="464">
        <v>600</v>
      </c>
      <c r="E1391" s="464">
        <v>80</v>
      </c>
      <c r="F1391" s="464">
        <f t="shared" si="140"/>
        <v>80</v>
      </c>
      <c r="G1391" s="476">
        <f t="shared" si="139"/>
        <v>48</v>
      </c>
      <c r="H1391" s="749"/>
      <c r="I1391" s="750"/>
      <c r="J1391" s="750"/>
      <c r="K1391" s="751"/>
      <c r="L1391" s="739"/>
      <c r="M1391" s="20"/>
      <c r="N1391" s="20"/>
      <c r="O1391" s="20"/>
      <c r="P1391" s="20"/>
      <c r="Q1391" s="21"/>
      <c r="R1391" s="22"/>
      <c r="S1391" s="22"/>
      <c r="T1391" s="20"/>
      <c r="U1391" s="20"/>
      <c r="V1391" s="20"/>
    </row>
    <row r="1392" spans="1:22" ht="12.75" customHeight="1">
      <c r="A1392" s="463" t="str">
        <f t="shared" si="134"/>
        <v>H1000x600x90</v>
      </c>
      <c r="B1392" s="464" t="s">
        <v>1997</v>
      </c>
      <c r="C1392" s="464">
        <v>1000</v>
      </c>
      <c r="D1392" s="464">
        <v>600</v>
      </c>
      <c r="E1392" s="464">
        <v>90</v>
      </c>
      <c r="F1392" s="464">
        <f t="shared" si="140"/>
        <v>90</v>
      </c>
      <c r="G1392" s="476">
        <f t="shared" si="139"/>
        <v>54</v>
      </c>
      <c r="H1392" s="749"/>
      <c r="I1392" s="750"/>
      <c r="J1392" s="750"/>
      <c r="K1392" s="751"/>
      <c r="L1392" s="739"/>
      <c r="M1392" s="20"/>
      <c r="N1392" s="20"/>
      <c r="O1392" s="20"/>
      <c r="P1392" s="20"/>
      <c r="Q1392" s="21"/>
      <c r="R1392" s="22"/>
      <c r="S1392" s="22"/>
      <c r="T1392" s="20"/>
      <c r="U1392" s="20"/>
      <c r="V1392" s="20"/>
    </row>
    <row r="1393" spans="1:22" ht="12.75" customHeight="1" thickBot="1">
      <c r="A1393" s="463" t="str">
        <f t="shared" si="134"/>
        <v>H1000x600x100</v>
      </c>
      <c r="B1393" s="464" t="s">
        <v>1997</v>
      </c>
      <c r="C1393" s="464">
        <v>1000</v>
      </c>
      <c r="D1393" s="464">
        <v>600</v>
      </c>
      <c r="E1393" s="464">
        <v>100</v>
      </c>
      <c r="F1393" s="464">
        <f t="shared" si="140"/>
        <v>100</v>
      </c>
      <c r="G1393" s="476">
        <f t="shared" si="139"/>
        <v>60</v>
      </c>
      <c r="H1393" s="752"/>
      <c r="I1393" s="753"/>
      <c r="J1393" s="753"/>
      <c r="K1393" s="754"/>
      <c r="L1393" s="739"/>
      <c r="M1393" s="20"/>
      <c r="N1393" s="20"/>
      <c r="O1393" s="20"/>
      <c r="P1393" s="20"/>
      <c r="Q1393" s="21"/>
      <c r="R1393" s="22"/>
      <c r="S1393" s="22"/>
      <c r="T1393" s="20"/>
      <c r="U1393" s="20"/>
      <c r="V1393" s="20"/>
    </row>
    <row r="1394" spans="1:22" ht="12.75" customHeight="1">
      <c r="A1394" s="465" t="str">
        <f t="shared" si="134"/>
        <v>H1000x610x6</v>
      </c>
      <c r="B1394" s="466" t="s">
        <v>1997</v>
      </c>
      <c r="C1394" s="466">
        <v>1000</v>
      </c>
      <c r="D1394" s="466">
        <v>610</v>
      </c>
      <c r="E1394" s="466">
        <v>6</v>
      </c>
      <c r="F1394" s="466">
        <f t="shared" si="140"/>
        <v>6</v>
      </c>
      <c r="G1394" s="476">
        <f t="shared" si="139"/>
        <v>3.6599999999999997</v>
      </c>
      <c r="H1394" s="746" t="s">
        <v>1723</v>
      </c>
      <c r="I1394" s="747"/>
      <c r="J1394" s="747"/>
      <c r="K1394" s="748"/>
      <c r="L1394" s="739"/>
      <c r="M1394" s="20"/>
      <c r="N1394" s="20"/>
      <c r="O1394" s="20"/>
      <c r="P1394" s="20"/>
      <c r="Q1394" s="21"/>
      <c r="R1394" s="22"/>
      <c r="S1394" s="22"/>
      <c r="T1394" s="20"/>
      <c r="U1394" s="20"/>
      <c r="V1394" s="20"/>
    </row>
    <row r="1395" spans="1:22" ht="12.75" customHeight="1">
      <c r="A1395" s="465" t="str">
        <f t="shared" si="134"/>
        <v>H1000x610x10</v>
      </c>
      <c r="B1395" s="466" t="s">
        <v>1997</v>
      </c>
      <c r="C1395" s="466">
        <v>1000</v>
      </c>
      <c r="D1395" s="466">
        <v>610</v>
      </c>
      <c r="E1395" s="466">
        <v>10</v>
      </c>
      <c r="F1395" s="466">
        <f t="shared" ref="F1395:F1401" si="141">E1395</f>
        <v>10</v>
      </c>
      <c r="G1395" s="476">
        <f t="shared" si="139"/>
        <v>6.1</v>
      </c>
      <c r="H1395" s="749"/>
      <c r="I1395" s="750"/>
      <c r="J1395" s="750"/>
      <c r="K1395" s="751"/>
      <c r="L1395" s="739"/>
      <c r="M1395" s="20"/>
      <c r="N1395" s="20"/>
      <c r="O1395" s="20"/>
      <c r="P1395" s="20"/>
      <c r="Q1395" s="21"/>
      <c r="R1395" s="22"/>
      <c r="S1395" s="22"/>
      <c r="T1395" s="20"/>
      <c r="U1395" s="20"/>
      <c r="V1395" s="20"/>
    </row>
    <row r="1396" spans="1:22" ht="12.75" customHeight="1">
      <c r="A1396" s="465" t="str">
        <f t="shared" si="134"/>
        <v>H1000x610x13</v>
      </c>
      <c r="B1396" s="466" t="s">
        <v>1997</v>
      </c>
      <c r="C1396" s="466">
        <v>1000</v>
      </c>
      <c r="D1396" s="466">
        <v>610</v>
      </c>
      <c r="E1396" s="466">
        <v>13</v>
      </c>
      <c r="F1396" s="466">
        <f t="shared" si="141"/>
        <v>13</v>
      </c>
      <c r="G1396" s="476">
        <f t="shared" si="139"/>
        <v>7.93</v>
      </c>
      <c r="H1396" s="749"/>
      <c r="I1396" s="750"/>
      <c r="J1396" s="750"/>
      <c r="K1396" s="751"/>
      <c r="L1396" s="739"/>
      <c r="M1396" s="20"/>
      <c r="N1396" s="20"/>
      <c r="O1396" s="20"/>
      <c r="P1396" s="20"/>
      <c r="Q1396" s="21"/>
      <c r="R1396" s="22"/>
      <c r="S1396" s="22"/>
      <c r="T1396" s="20"/>
      <c r="U1396" s="20"/>
      <c r="V1396" s="20"/>
    </row>
    <row r="1397" spans="1:22" ht="12.75" customHeight="1">
      <c r="A1397" s="465" t="str">
        <f t="shared" si="134"/>
        <v>H1000x610x20</v>
      </c>
      <c r="B1397" s="466" t="s">
        <v>1997</v>
      </c>
      <c r="C1397" s="466">
        <v>1000</v>
      </c>
      <c r="D1397" s="466">
        <v>610</v>
      </c>
      <c r="E1397" s="466">
        <v>20</v>
      </c>
      <c r="F1397" s="466">
        <f t="shared" si="141"/>
        <v>20</v>
      </c>
      <c r="G1397" s="476">
        <f t="shared" si="139"/>
        <v>12.2</v>
      </c>
      <c r="H1397" s="749"/>
      <c r="I1397" s="750"/>
      <c r="J1397" s="750"/>
      <c r="K1397" s="751"/>
      <c r="L1397" s="739"/>
      <c r="M1397" s="20"/>
      <c r="N1397" s="20"/>
      <c r="O1397" s="20"/>
      <c r="P1397" s="20"/>
      <c r="Q1397" s="21"/>
      <c r="R1397" s="22"/>
      <c r="S1397" s="22"/>
      <c r="T1397" s="20"/>
      <c r="U1397" s="20"/>
      <c r="V1397" s="20"/>
    </row>
    <row r="1398" spans="1:22" ht="12.75" customHeight="1">
      <c r="A1398" s="465" t="str">
        <f t="shared" si="134"/>
        <v>H1000x610x25</v>
      </c>
      <c r="B1398" s="466" t="s">
        <v>1997</v>
      </c>
      <c r="C1398" s="466">
        <v>1000</v>
      </c>
      <c r="D1398" s="466">
        <v>610</v>
      </c>
      <c r="E1398" s="466">
        <v>25</v>
      </c>
      <c r="F1398" s="466">
        <f t="shared" si="141"/>
        <v>25</v>
      </c>
      <c r="G1398" s="476">
        <f t="shared" si="139"/>
        <v>15.25</v>
      </c>
      <c r="H1398" s="749"/>
      <c r="I1398" s="750"/>
      <c r="J1398" s="750"/>
      <c r="K1398" s="751"/>
      <c r="L1398" s="739"/>
      <c r="M1398" s="20"/>
      <c r="N1398" s="20"/>
      <c r="O1398" s="20"/>
      <c r="P1398" s="20"/>
      <c r="Q1398" s="21"/>
      <c r="R1398" s="22"/>
      <c r="S1398" s="22"/>
      <c r="T1398" s="20"/>
      <c r="U1398" s="20"/>
      <c r="V1398" s="20"/>
    </row>
    <row r="1399" spans="1:22" ht="12.75" customHeight="1">
      <c r="A1399" s="465" t="str">
        <f t="shared" si="134"/>
        <v>H1000x610x30</v>
      </c>
      <c r="B1399" s="466" t="s">
        <v>1997</v>
      </c>
      <c r="C1399" s="466">
        <v>1000</v>
      </c>
      <c r="D1399" s="466">
        <v>610</v>
      </c>
      <c r="E1399" s="466">
        <v>30</v>
      </c>
      <c r="F1399" s="466">
        <f t="shared" si="141"/>
        <v>30</v>
      </c>
      <c r="G1399" s="476">
        <f t="shared" si="139"/>
        <v>18.3</v>
      </c>
      <c r="H1399" s="749"/>
      <c r="I1399" s="750"/>
      <c r="J1399" s="750"/>
      <c r="K1399" s="751"/>
      <c r="L1399" s="739"/>
      <c r="M1399" s="20"/>
      <c r="N1399" s="20"/>
      <c r="O1399" s="20"/>
      <c r="P1399" s="20"/>
      <c r="Q1399" s="21"/>
      <c r="R1399" s="22"/>
      <c r="S1399" s="22"/>
      <c r="T1399" s="20"/>
      <c r="U1399" s="20"/>
      <c r="V1399" s="20"/>
    </row>
    <row r="1400" spans="1:22" ht="12.75" customHeight="1">
      <c r="A1400" s="465" t="str">
        <f t="shared" si="134"/>
        <v>H1000x610x40</v>
      </c>
      <c r="B1400" s="466" t="s">
        <v>1997</v>
      </c>
      <c r="C1400" s="466">
        <v>1000</v>
      </c>
      <c r="D1400" s="466">
        <v>610</v>
      </c>
      <c r="E1400" s="466">
        <v>40</v>
      </c>
      <c r="F1400" s="466">
        <f t="shared" si="141"/>
        <v>40</v>
      </c>
      <c r="G1400" s="476">
        <f t="shared" si="139"/>
        <v>24.4</v>
      </c>
      <c r="H1400" s="749"/>
      <c r="I1400" s="750"/>
      <c r="J1400" s="750"/>
      <c r="K1400" s="751"/>
      <c r="L1400" s="739"/>
      <c r="M1400" s="20"/>
      <c r="N1400" s="20"/>
      <c r="O1400" s="20"/>
      <c r="P1400" s="20"/>
      <c r="Q1400" s="21"/>
      <c r="R1400" s="22"/>
      <c r="S1400" s="22"/>
      <c r="T1400" s="20"/>
      <c r="U1400" s="20"/>
      <c r="V1400" s="20"/>
    </row>
    <row r="1401" spans="1:22" ht="12.75" customHeight="1" thickBot="1">
      <c r="A1401" s="465" t="str">
        <f t="shared" si="134"/>
        <v>H1000x610x50</v>
      </c>
      <c r="B1401" s="466" t="s">
        <v>1997</v>
      </c>
      <c r="C1401" s="466">
        <v>1000</v>
      </c>
      <c r="D1401" s="466">
        <v>610</v>
      </c>
      <c r="E1401" s="466">
        <v>50</v>
      </c>
      <c r="F1401" s="466">
        <f t="shared" si="141"/>
        <v>50</v>
      </c>
      <c r="G1401" s="476">
        <f t="shared" si="139"/>
        <v>30.5</v>
      </c>
      <c r="H1401" s="752"/>
      <c r="I1401" s="753"/>
      <c r="J1401" s="753"/>
      <c r="K1401" s="754"/>
      <c r="L1401" s="739"/>
      <c r="M1401" s="20"/>
      <c r="N1401" s="20"/>
      <c r="O1401" s="20"/>
      <c r="P1401" s="20"/>
      <c r="Q1401" s="21"/>
      <c r="R1401" s="22"/>
      <c r="S1401" s="22"/>
      <c r="T1401" s="20"/>
      <c r="U1401" s="20"/>
      <c r="V1401" s="20"/>
    </row>
    <row r="1402" spans="1:22" ht="12.75" customHeight="1">
      <c r="A1402" s="467" t="str">
        <f t="shared" si="134"/>
        <v>H1000x1000x2</v>
      </c>
      <c r="B1402" s="468" t="s">
        <v>1997</v>
      </c>
      <c r="C1402" s="468">
        <v>1000</v>
      </c>
      <c r="D1402" s="468">
        <v>1000</v>
      </c>
      <c r="E1402" s="468">
        <v>2</v>
      </c>
      <c r="F1402" s="468">
        <f t="shared" ref="F1402" si="142">E1402</f>
        <v>2</v>
      </c>
      <c r="G1402" s="476">
        <f t="shared" si="139"/>
        <v>2</v>
      </c>
      <c r="H1402" s="746" t="s">
        <v>1720</v>
      </c>
      <c r="I1402" s="747"/>
      <c r="J1402" s="747"/>
      <c r="K1402" s="748"/>
      <c r="L1402" s="739"/>
      <c r="M1402" s="20"/>
      <c r="N1402" s="20"/>
      <c r="O1402" s="20"/>
      <c r="P1402" s="20"/>
      <c r="Q1402" s="21"/>
      <c r="R1402" s="22"/>
      <c r="S1402" s="22"/>
      <c r="T1402" s="20"/>
      <c r="U1402" s="20"/>
      <c r="V1402" s="20"/>
    </row>
    <row r="1403" spans="1:22" ht="12.75" customHeight="1">
      <c r="A1403" s="467" t="str">
        <f t="shared" si="134"/>
        <v>H1000x1000x3</v>
      </c>
      <c r="B1403" s="468" t="s">
        <v>1997</v>
      </c>
      <c r="C1403" s="468">
        <v>1000</v>
      </c>
      <c r="D1403" s="468">
        <v>1000</v>
      </c>
      <c r="E1403" s="468">
        <v>3</v>
      </c>
      <c r="F1403" s="468">
        <f t="shared" ref="F1403:F1427" si="143">E1403</f>
        <v>3</v>
      </c>
      <c r="G1403" s="476">
        <f t="shared" si="139"/>
        <v>3</v>
      </c>
      <c r="H1403" s="749"/>
      <c r="I1403" s="750"/>
      <c r="J1403" s="750"/>
      <c r="K1403" s="751"/>
      <c r="L1403" s="739"/>
      <c r="M1403" s="20"/>
      <c r="N1403" s="20"/>
      <c r="O1403" s="20"/>
      <c r="P1403" s="20"/>
      <c r="Q1403" s="21"/>
      <c r="R1403" s="22"/>
      <c r="S1403" s="22"/>
      <c r="T1403" s="20"/>
      <c r="U1403" s="20"/>
      <c r="V1403" s="20"/>
    </row>
    <row r="1404" spans="1:22" ht="12.75" customHeight="1">
      <c r="A1404" s="467" t="str">
        <f t="shared" si="134"/>
        <v>H1000x1000x4</v>
      </c>
      <c r="B1404" s="468" t="s">
        <v>1997</v>
      </c>
      <c r="C1404" s="468">
        <v>1000</v>
      </c>
      <c r="D1404" s="468">
        <v>1000</v>
      </c>
      <c r="E1404" s="468">
        <v>4</v>
      </c>
      <c r="F1404" s="468">
        <f t="shared" si="143"/>
        <v>4</v>
      </c>
      <c r="G1404" s="476">
        <f t="shared" si="139"/>
        <v>4</v>
      </c>
      <c r="H1404" s="749"/>
      <c r="I1404" s="750"/>
      <c r="J1404" s="750"/>
      <c r="K1404" s="751"/>
      <c r="L1404" s="739"/>
      <c r="M1404" s="20"/>
      <c r="N1404" s="20"/>
      <c r="O1404" s="20"/>
      <c r="P1404" s="20"/>
      <c r="Q1404" s="21"/>
      <c r="R1404" s="22"/>
      <c r="S1404" s="22"/>
      <c r="T1404" s="20"/>
      <c r="U1404" s="20"/>
      <c r="V1404" s="20"/>
    </row>
    <row r="1405" spans="1:22" ht="12.75" customHeight="1">
      <c r="A1405" s="467" t="str">
        <f t="shared" si="134"/>
        <v>H1000x1000x5</v>
      </c>
      <c r="B1405" s="468" t="s">
        <v>1997</v>
      </c>
      <c r="C1405" s="468">
        <v>1000</v>
      </c>
      <c r="D1405" s="468">
        <v>1000</v>
      </c>
      <c r="E1405" s="468">
        <v>5</v>
      </c>
      <c r="F1405" s="468">
        <f t="shared" si="143"/>
        <v>5</v>
      </c>
      <c r="G1405" s="476">
        <f t="shared" si="139"/>
        <v>5</v>
      </c>
      <c r="H1405" s="749"/>
      <c r="I1405" s="750"/>
      <c r="J1405" s="750"/>
      <c r="K1405" s="751"/>
      <c r="L1405" s="739"/>
      <c r="M1405" s="20"/>
      <c r="N1405" s="20"/>
      <c r="O1405" s="20"/>
      <c r="P1405" s="20"/>
      <c r="Q1405" s="21"/>
      <c r="R1405" s="22"/>
      <c r="S1405" s="22"/>
      <c r="T1405" s="20"/>
      <c r="U1405" s="20"/>
      <c r="V1405" s="20"/>
    </row>
    <row r="1406" spans="1:22" ht="12.75" customHeight="1">
      <c r="A1406" s="467" t="str">
        <f t="shared" si="134"/>
        <v>H1000x1000x6</v>
      </c>
      <c r="B1406" s="468" t="s">
        <v>1997</v>
      </c>
      <c r="C1406" s="468">
        <v>1000</v>
      </c>
      <c r="D1406" s="468">
        <v>1000</v>
      </c>
      <c r="E1406" s="468">
        <v>6</v>
      </c>
      <c r="F1406" s="468">
        <f t="shared" si="143"/>
        <v>6</v>
      </c>
      <c r="G1406" s="476">
        <f t="shared" si="139"/>
        <v>6</v>
      </c>
      <c r="H1406" s="749"/>
      <c r="I1406" s="750"/>
      <c r="J1406" s="750"/>
      <c r="K1406" s="751"/>
      <c r="L1406" s="739"/>
      <c r="M1406" s="20"/>
      <c r="N1406" s="20"/>
      <c r="O1406" s="20"/>
      <c r="P1406" s="20"/>
      <c r="Q1406" s="21"/>
      <c r="R1406" s="22"/>
      <c r="S1406" s="22"/>
      <c r="T1406" s="20"/>
      <c r="U1406" s="20"/>
      <c r="V1406" s="20"/>
    </row>
    <row r="1407" spans="1:22" ht="12.75" customHeight="1" thickBot="1">
      <c r="A1407" s="467" t="str">
        <f t="shared" si="134"/>
        <v>H1000x1000x10</v>
      </c>
      <c r="B1407" s="468" t="s">
        <v>1997</v>
      </c>
      <c r="C1407" s="468">
        <v>1000</v>
      </c>
      <c r="D1407" s="468">
        <v>1000</v>
      </c>
      <c r="E1407" s="468">
        <v>10</v>
      </c>
      <c r="F1407" s="468">
        <f t="shared" si="143"/>
        <v>10</v>
      </c>
      <c r="G1407" s="476">
        <f t="shared" si="139"/>
        <v>10</v>
      </c>
      <c r="H1407" s="752"/>
      <c r="I1407" s="753"/>
      <c r="J1407" s="753"/>
      <c r="K1407" s="754"/>
      <c r="L1407" s="739"/>
      <c r="M1407" s="20"/>
      <c r="N1407" s="20"/>
      <c r="O1407" s="20"/>
      <c r="P1407" s="20"/>
      <c r="Q1407" s="21"/>
      <c r="R1407" s="22"/>
      <c r="S1407" s="22"/>
      <c r="T1407" s="20"/>
      <c r="U1407" s="20"/>
      <c r="V1407" s="20"/>
    </row>
    <row r="1408" spans="1:22" ht="12.75" customHeight="1">
      <c r="A1408" s="469" t="str">
        <f t="shared" si="134"/>
        <v>H1220x1070x6</v>
      </c>
      <c r="B1408" s="470" t="s">
        <v>1997</v>
      </c>
      <c r="C1408" s="470">
        <v>1220</v>
      </c>
      <c r="D1408" s="470">
        <v>1070</v>
      </c>
      <c r="E1408" s="470">
        <v>6</v>
      </c>
      <c r="F1408" s="470">
        <f t="shared" ref="F1408" si="144">E1408</f>
        <v>6</v>
      </c>
      <c r="G1408" s="476">
        <f t="shared" si="139"/>
        <v>7.8323999999999998</v>
      </c>
      <c r="H1408" s="746" t="s">
        <v>1722</v>
      </c>
      <c r="I1408" s="747"/>
      <c r="J1408" s="747"/>
      <c r="K1408" s="748"/>
      <c r="L1408" s="739"/>
      <c r="M1408" s="20"/>
      <c r="N1408" s="20"/>
      <c r="O1408" s="20"/>
      <c r="P1408" s="20"/>
      <c r="Q1408" s="21"/>
      <c r="R1408" s="22"/>
      <c r="S1408" s="22"/>
      <c r="T1408" s="20"/>
      <c r="U1408" s="20"/>
      <c r="V1408" s="20"/>
    </row>
    <row r="1409" spans="1:22" ht="12.75" customHeight="1">
      <c r="A1409" s="469" t="str">
        <f t="shared" si="134"/>
        <v>H1220x1070x10</v>
      </c>
      <c r="B1409" s="470" t="s">
        <v>1997</v>
      </c>
      <c r="C1409" s="470">
        <v>1220</v>
      </c>
      <c r="D1409" s="470">
        <v>1070</v>
      </c>
      <c r="E1409" s="470">
        <v>10</v>
      </c>
      <c r="F1409" s="470">
        <f t="shared" ref="F1409:F1418" si="145">E1409</f>
        <v>10</v>
      </c>
      <c r="G1409" s="476">
        <f t="shared" si="139"/>
        <v>13.054</v>
      </c>
      <c r="H1409" s="749"/>
      <c r="I1409" s="750"/>
      <c r="J1409" s="750"/>
      <c r="K1409" s="751"/>
      <c r="L1409" s="739"/>
      <c r="M1409" s="20"/>
      <c r="N1409" s="20"/>
      <c r="O1409" s="20"/>
      <c r="P1409" s="20"/>
      <c r="Q1409" s="21"/>
      <c r="R1409" s="22"/>
      <c r="S1409" s="22"/>
      <c r="T1409" s="20"/>
      <c r="U1409" s="20"/>
      <c r="V1409" s="20"/>
    </row>
    <row r="1410" spans="1:22" ht="12.75" customHeight="1">
      <c r="A1410" s="469" t="str">
        <f t="shared" si="134"/>
        <v>H1220x1070x13</v>
      </c>
      <c r="B1410" s="470" t="s">
        <v>1997</v>
      </c>
      <c r="C1410" s="470">
        <v>1220</v>
      </c>
      <c r="D1410" s="470">
        <v>1070</v>
      </c>
      <c r="E1410" s="470">
        <v>13</v>
      </c>
      <c r="F1410" s="470">
        <f t="shared" si="145"/>
        <v>13</v>
      </c>
      <c r="G1410" s="476">
        <f t="shared" si="139"/>
        <v>16.970199999999998</v>
      </c>
      <c r="H1410" s="749"/>
      <c r="I1410" s="750"/>
      <c r="J1410" s="750"/>
      <c r="K1410" s="751"/>
      <c r="L1410" s="739"/>
      <c r="M1410" s="20"/>
      <c r="N1410" s="20"/>
      <c r="O1410" s="20"/>
      <c r="P1410" s="20"/>
      <c r="Q1410" s="21"/>
      <c r="R1410" s="22"/>
      <c r="S1410" s="22"/>
      <c r="T1410" s="20"/>
      <c r="U1410" s="20"/>
      <c r="V1410" s="20"/>
    </row>
    <row r="1411" spans="1:22" ht="12.75" customHeight="1">
      <c r="A1411" s="469" t="str">
        <f t="shared" si="134"/>
        <v>H1220x1070x19</v>
      </c>
      <c r="B1411" s="470" t="s">
        <v>1997</v>
      </c>
      <c r="C1411" s="470">
        <v>1220</v>
      </c>
      <c r="D1411" s="470">
        <v>1070</v>
      </c>
      <c r="E1411" s="470">
        <v>19</v>
      </c>
      <c r="F1411" s="470">
        <f t="shared" si="145"/>
        <v>19</v>
      </c>
      <c r="G1411" s="476">
        <f t="shared" si="139"/>
        <v>24.802599999999998</v>
      </c>
      <c r="H1411" s="749"/>
      <c r="I1411" s="750"/>
      <c r="J1411" s="750"/>
      <c r="K1411" s="751"/>
      <c r="L1411" s="739"/>
      <c r="M1411" s="20"/>
      <c r="N1411" s="20"/>
      <c r="O1411" s="20"/>
      <c r="P1411" s="20"/>
      <c r="Q1411" s="21"/>
      <c r="R1411" s="22"/>
      <c r="S1411" s="22"/>
      <c r="T1411" s="20"/>
      <c r="U1411" s="20"/>
      <c r="V1411" s="20"/>
    </row>
    <row r="1412" spans="1:22" ht="12.75" customHeight="1" thickBot="1">
      <c r="A1412" s="469" t="str">
        <f t="shared" si="134"/>
        <v>H1220x1070x25</v>
      </c>
      <c r="B1412" s="470" t="s">
        <v>1997</v>
      </c>
      <c r="C1412" s="470">
        <v>1220</v>
      </c>
      <c r="D1412" s="470">
        <v>1070</v>
      </c>
      <c r="E1412" s="470">
        <v>25</v>
      </c>
      <c r="F1412" s="470">
        <f t="shared" si="145"/>
        <v>25</v>
      </c>
      <c r="G1412" s="476">
        <f t="shared" si="139"/>
        <v>32.634999999999998</v>
      </c>
      <c r="H1412" s="752"/>
      <c r="I1412" s="753"/>
      <c r="J1412" s="753"/>
      <c r="K1412" s="754"/>
      <c r="L1412" s="739"/>
      <c r="M1412" s="20"/>
      <c r="N1412" s="20"/>
      <c r="O1412" s="20"/>
      <c r="P1412" s="20"/>
      <c r="Q1412" s="21"/>
      <c r="R1412" s="22"/>
      <c r="S1412" s="22"/>
      <c r="T1412" s="20"/>
      <c r="U1412" s="20"/>
      <c r="V1412" s="20"/>
    </row>
    <row r="1413" spans="1:22" ht="12.75" customHeight="1">
      <c r="A1413" s="471" t="str">
        <f t="shared" si="134"/>
        <v>H1220x610x13</v>
      </c>
      <c r="B1413" s="472" t="s">
        <v>1997</v>
      </c>
      <c r="C1413" s="472">
        <v>1220</v>
      </c>
      <c r="D1413" s="472">
        <v>610</v>
      </c>
      <c r="E1413" s="472">
        <v>13</v>
      </c>
      <c r="F1413" s="472">
        <f t="shared" si="145"/>
        <v>13</v>
      </c>
      <c r="G1413" s="476">
        <f t="shared" si="139"/>
        <v>9.6745999999999999</v>
      </c>
      <c r="H1413" s="740" t="s">
        <v>1717</v>
      </c>
      <c r="I1413" s="741"/>
      <c r="J1413" s="741"/>
      <c r="K1413" s="742"/>
      <c r="L1413" s="739"/>
      <c r="M1413" s="20"/>
      <c r="N1413" s="20"/>
      <c r="O1413" s="20"/>
      <c r="P1413" s="20"/>
      <c r="Q1413" s="21"/>
      <c r="R1413" s="22" t="s">
        <v>16</v>
      </c>
      <c r="S1413" s="22" t="s">
        <v>16</v>
      </c>
      <c r="T1413" s="20"/>
      <c r="U1413" s="20"/>
      <c r="V1413" s="20"/>
    </row>
    <row r="1414" spans="1:22" ht="12.75" customHeight="1">
      <c r="A1414" s="471" t="str">
        <f t="shared" si="134"/>
        <v>H1220x610x25</v>
      </c>
      <c r="B1414" s="472" t="s">
        <v>1997</v>
      </c>
      <c r="C1414" s="472">
        <v>1220</v>
      </c>
      <c r="D1414" s="472">
        <v>610</v>
      </c>
      <c r="E1414" s="472">
        <v>25</v>
      </c>
      <c r="F1414" s="472">
        <f t="shared" si="145"/>
        <v>25</v>
      </c>
      <c r="G1414" s="476">
        <f t="shared" si="139"/>
        <v>18.605</v>
      </c>
      <c r="H1414" s="743"/>
      <c r="I1414" s="744"/>
      <c r="J1414" s="744"/>
      <c r="K1414" s="745"/>
      <c r="L1414" s="739"/>
      <c r="M1414" s="20"/>
      <c r="N1414" s="20"/>
      <c r="O1414" s="20"/>
      <c r="P1414" s="20"/>
      <c r="Q1414" s="21"/>
      <c r="R1414" s="22" t="s">
        <v>16</v>
      </c>
      <c r="S1414" s="22" t="s">
        <v>16</v>
      </c>
      <c r="T1414" s="20"/>
      <c r="U1414" s="20"/>
      <c r="V1414" s="20"/>
    </row>
    <row r="1415" spans="1:22" ht="12.75" customHeight="1">
      <c r="A1415" s="471" t="str">
        <f t="shared" si="134"/>
        <v>H1220x610x38</v>
      </c>
      <c r="B1415" s="472" t="s">
        <v>1997</v>
      </c>
      <c r="C1415" s="472">
        <v>1220</v>
      </c>
      <c r="D1415" s="472">
        <v>610</v>
      </c>
      <c r="E1415" s="472">
        <v>38</v>
      </c>
      <c r="F1415" s="472">
        <f t="shared" si="145"/>
        <v>38</v>
      </c>
      <c r="G1415" s="476">
        <f t="shared" si="139"/>
        <v>28.279599999999999</v>
      </c>
      <c r="H1415" s="743"/>
      <c r="I1415" s="744"/>
      <c r="J1415" s="744"/>
      <c r="K1415" s="745"/>
      <c r="L1415" s="739"/>
      <c r="M1415" s="20"/>
      <c r="N1415" s="20"/>
      <c r="O1415" s="20"/>
      <c r="P1415" s="20"/>
      <c r="Q1415" s="21"/>
      <c r="R1415" s="22" t="s">
        <v>16</v>
      </c>
      <c r="S1415" s="22" t="s">
        <v>16</v>
      </c>
      <c r="T1415" s="20"/>
      <c r="U1415" s="20"/>
      <c r="V1415" s="20"/>
    </row>
    <row r="1416" spans="1:22" ht="12.75" customHeight="1">
      <c r="A1416" s="471" t="str">
        <f t="shared" si="134"/>
        <v>H1220x610x50</v>
      </c>
      <c r="B1416" s="472" t="s">
        <v>1997</v>
      </c>
      <c r="C1416" s="472">
        <v>1220</v>
      </c>
      <c r="D1416" s="472">
        <v>610</v>
      </c>
      <c r="E1416" s="472">
        <v>50</v>
      </c>
      <c r="F1416" s="472">
        <f t="shared" si="145"/>
        <v>50</v>
      </c>
      <c r="G1416" s="476">
        <f t="shared" si="139"/>
        <v>37.21</v>
      </c>
      <c r="H1416" s="743"/>
      <c r="I1416" s="744"/>
      <c r="J1416" s="744"/>
      <c r="K1416" s="745"/>
      <c r="L1416" s="739"/>
      <c r="M1416" s="20"/>
      <c r="N1416" s="20"/>
      <c r="O1416" s="20"/>
      <c r="P1416" s="20"/>
      <c r="Q1416" s="21"/>
      <c r="R1416" s="22" t="s">
        <v>16</v>
      </c>
      <c r="S1416" s="22" t="s">
        <v>16</v>
      </c>
      <c r="T1416" s="20"/>
      <c r="U1416" s="20"/>
      <c r="V1416" s="20"/>
    </row>
    <row r="1417" spans="1:22" ht="12.75" customHeight="1">
      <c r="A1417" s="471" t="str">
        <f t="shared" si="134"/>
        <v>H1220x610x51</v>
      </c>
      <c r="B1417" s="472" t="s">
        <v>1997</v>
      </c>
      <c r="C1417" s="472">
        <v>1220</v>
      </c>
      <c r="D1417" s="472">
        <v>610</v>
      </c>
      <c r="E1417" s="472">
        <v>51</v>
      </c>
      <c r="F1417" s="472">
        <f t="shared" si="145"/>
        <v>51</v>
      </c>
      <c r="G1417" s="476">
        <f t="shared" si="139"/>
        <v>37.9542</v>
      </c>
      <c r="H1417" s="743"/>
      <c r="I1417" s="744"/>
      <c r="J1417" s="744"/>
      <c r="K1417" s="745"/>
      <c r="L1417" s="739"/>
      <c r="M1417" s="20"/>
      <c r="N1417" s="20"/>
      <c r="O1417" s="20"/>
      <c r="P1417" s="20"/>
      <c r="Q1417" s="21"/>
      <c r="R1417" s="22" t="s">
        <v>16</v>
      </c>
      <c r="S1417" s="22" t="s">
        <v>16</v>
      </c>
      <c r="T1417" s="20"/>
      <c r="U1417" s="20"/>
      <c r="V1417" s="20"/>
    </row>
    <row r="1418" spans="1:22" ht="13.5" customHeight="1">
      <c r="A1418" s="471" t="str">
        <f t="shared" si="134"/>
        <v>H1220x610x76</v>
      </c>
      <c r="B1418" s="472" t="s">
        <v>1997</v>
      </c>
      <c r="C1418" s="472">
        <v>1220</v>
      </c>
      <c r="D1418" s="472">
        <v>610</v>
      </c>
      <c r="E1418" s="472">
        <v>76</v>
      </c>
      <c r="F1418" s="472">
        <f t="shared" si="145"/>
        <v>76</v>
      </c>
      <c r="G1418" s="476">
        <f t="shared" si="139"/>
        <v>56.559199999999997</v>
      </c>
      <c r="H1418" s="743"/>
      <c r="I1418" s="744"/>
      <c r="J1418" s="744"/>
      <c r="K1418" s="745"/>
      <c r="L1418" s="739"/>
      <c r="M1418" s="20"/>
      <c r="N1418" s="20"/>
      <c r="O1418" s="20"/>
      <c r="P1418" s="20"/>
      <c r="Q1418" s="21"/>
      <c r="R1418" s="22" t="s">
        <v>16</v>
      </c>
      <c r="S1418" s="22" t="s">
        <v>16</v>
      </c>
      <c r="T1418" s="20"/>
      <c r="U1418" s="20"/>
      <c r="V1418" s="20"/>
    </row>
    <row r="1419" spans="1:22" ht="13.8" thickBot="1">
      <c r="A1419" s="471" t="str">
        <f t="shared" si="134"/>
        <v>H1220x610x100</v>
      </c>
      <c r="B1419" s="472" t="s">
        <v>1997</v>
      </c>
      <c r="C1419" s="472">
        <v>1220</v>
      </c>
      <c r="D1419" s="472">
        <v>610</v>
      </c>
      <c r="E1419" s="472">
        <v>100</v>
      </c>
      <c r="F1419" s="472">
        <f>E1419</f>
        <v>100</v>
      </c>
      <c r="G1419" s="476">
        <f t="shared" ref="G1419:G1428" si="146">(C1419*D1419*E1419)*10^-6</f>
        <v>74.42</v>
      </c>
      <c r="H1419" s="761"/>
      <c r="I1419" s="762"/>
      <c r="J1419" s="762"/>
      <c r="K1419" s="763"/>
      <c r="L1419" s="739"/>
      <c r="M1419" s="20"/>
      <c r="N1419" s="20"/>
      <c r="O1419" s="20"/>
      <c r="P1419" s="20"/>
      <c r="Q1419" s="21"/>
      <c r="R1419" s="22" t="s">
        <v>16</v>
      </c>
      <c r="S1419" s="22" t="s">
        <v>16</v>
      </c>
      <c r="T1419" s="20"/>
      <c r="U1419" s="20"/>
      <c r="V1419" s="20"/>
    </row>
    <row r="1420" spans="1:22" ht="12.75" customHeight="1">
      <c r="A1420" s="473" t="str">
        <f t="shared" ref="A1420:A1428" si="147">IF(OR(B1420="PA",B1420="H"),B1420&amp;""&amp;C1420&amp;"x"&amp;D1420&amp;"x"&amp;E1420,IF(OR(B1420="A1",B1420="A2",B1420="A3",B1420="AE",B1420="A2/3",B1420="A3/4",B1420="C1",B1420="C2",B1420="C3",B1420="CE",B1420="C2/3",B1420="C3/4"),B1420&amp;"-"&amp;C1420&amp;"x"&amp;D1420&amp;"x"&amp;E1420&amp;"-"&amp;F1420,B1420&amp;"-"&amp;C1420&amp;"x"&amp;D1420&amp;"-"&amp;E1420&amp;"x"&amp;F1420))</f>
        <v>H1250x1000x5</v>
      </c>
      <c r="B1420" s="474" t="s">
        <v>1997</v>
      </c>
      <c r="C1420" s="474">
        <v>1250</v>
      </c>
      <c r="D1420" s="474">
        <v>1000</v>
      </c>
      <c r="E1420" s="474">
        <v>5</v>
      </c>
      <c r="F1420" s="474">
        <f t="shared" si="143"/>
        <v>5</v>
      </c>
      <c r="G1420" s="476">
        <f t="shared" si="146"/>
        <v>6.25</v>
      </c>
      <c r="H1420" s="755" t="s">
        <v>671</v>
      </c>
      <c r="I1420" s="756"/>
      <c r="J1420" s="756"/>
      <c r="K1420" s="757"/>
      <c r="L1420" s="739"/>
      <c r="M1420" s="20"/>
      <c r="N1420" s="20"/>
      <c r="O1420" s="20"/>
      <c r="P1420" s="20"/>
      <c r="Q1420" s="21"/>
      <c r="R1420" s="22"/>
      <c r="S1420" s="22"/>
      <c r="T1420" s="20"/>
      <c r="U1420" s="20"/>
      <c r="V1420" s="20"/>
    </row>
    <row r="1421" spans="1:22" ht="12.75" customHeight="1" thickBot="1">
      <c r="A1421" s="473" t="str">
        <f t="shared" si="147"/>
        <v>H1250x1000x10</v>
      </c>
      <c r="B1421" s="474" t="s">
        <v>1997</v>
      </c>
      <c r="C1421" s="474">
        <v>1250</v>
      </c>
      <c r="D1421" s="474">
        <v>1000</v>
      </c>
      <c r="E1421" s="474">
        <v>10</v>
      </c>
      <c r="F1421" s="474">
        <f t="shared" si="143"/>
        <v>10</v>
      </c>
      <c r="G1421" s="476">
        <f t="shared" si="146"/>
        <v>12.5</v>
      </c>
      <c r="H1421" s="758"/>
      <c r="I1421" s="759"/>
      <c r="J1421" s="759"/>
      <c r="K1421" s="760"/>
      <c r="L1421" s="739"/>
      <c r="M1421" s="20"/>
      <c r="N1421" s="20"/>
      <c r="O1421" s="20"/>
      <c r="P1421" s="20"/>
      <c r="Q1421" s="21"/>
      <c r="R1421" s="22"/>
      <c r="S1421" s="22"/>
      <c r="T1421" s="20"/>
      <c r="U1421" s="20"/>
      <c r="V1421" s="20"/>
    </row>
    <row r="1422" spans="1:22" ht="12.75" customHeight="1">
      <c r="A1422" s="460" t="str">
        <f t="shared" si="147"/>
        <v>Hxx</v>
      </c>
      <c r="B1422" s="461" t="s">
        <v>1997</v>
      </c>
      <c r="C1422" s="462"/>
      <c r="D1422" s="462"/>
      <c r="E1422" s="462"/>
      <c r="F1422" s="461">
        <f t="shared" si="143"/>
        <v>0</v>
      </c>
      <c r="G1422" s="476">
        <f t="shared" si="146"/>
        <v>0</v>
      </c>
      <c r="H1422" s="740" t="s">
        <v>1724</v>
      </c>
      <c r="I1422" s="741"/>
      <c r="J1422" s="741"/>
      <c r="K1422" s="742"/>
      <c r="L1422" s="739"/>
      <c r="M1422" s="20"/>
      <c r="N1422" s="20"/>
      <c r="O1422" s="20"/>
      <c r="P1422" s="20"/>
      <c r="Q1422" s="21"/>
      <c r="R1422" s="22" t="s">
        <v>16</v>
      </c>
      <c r="S1422" s="22" t="s">
        <v>16</v>
      </c>
      <c r="T1422" s="20"/>
      <c r="U1422" s="20"/>
      <c r="V1422" s="20"/>
    </row>
    <row r="1423" spans="1:22" ht="12.75" customHeight="1">
      <c r="A1423" s="460" t="str">
        <f t="shared" si="147"/>
        <v>Hxx</v>
      </c>
      <c r="B1423" s="461" t="s">
        <v>1997</v>
      </c>
      <c r="C1423" s="462"/>
      <c r="D1423" s="462"/>
      <c r="E1423" s="462"/>
      <c r="F1423" s="461">
        <f t="shared" si="143"/>
        <v>0</v>
      </c>
      <c r="G1423" s="476">
        <f t="shared" si="146"/>
        <v>0</v>
      </c>
      <c r="H1423" s="743"/>
      <c r="I1423" s="744"/>
      <c r="J1423" s="744"/>
      <c r="K1423" s="745"/>
      <c r="L1423" s="739"/>
      <c r="M1423" s="20"/>
      <c r="N1423" s="20"/>
      <c r="O1423" s="20"/>
      <c r="P1423" s="20"/>
      <c r="Q1423" s="21"/>
      <c r="R1423" s="22" t="s">
        <v>16</v>
      </c>
      <c r="S1423" s="22" t="s">
        <v>16</v>
      </c>
      <c r="T1423" s="20"/>
      <c r="U1423" s="20"/>
      <c r="V1423" s="20"/>
    </row>
    <row r="1424" spans="1:22" ht="12.75" customHeight="1">
      <c r="A1424" s="460" t="str">
        <f t="shared" si="147"/>
        <v>Hxx</v>
      </c>
      <c r="B1424" s="461" t="s">
        <v>1997</v>
      </c>
      <c r="C1424" s="462"/>
      <c r="D1424" s="462"/>
      <c r="E1424" s="462"/>
      <c r="F1424" s="461">
        <f t="shared" si="143"/>
        <v>0</v>
      </c>
      <c r="G1424" s="476">
        <f t="shared" si="146"/>
        <v>0</v>
      </c>
      <c r="H1424" s="743"/>
      <c r="I1424" s="744"/>
      <c r="J1424" s="744"/>
      <c r="K1424" s="745"/>
      <c r="L1424" s="739"/>
      <c r="M1424" s="20"/>
      <c r="N1424" s="20"/>
      <c r="O1424" s="20"/>
      <c r="P1424" s="20"/>
      <c r="Q1424" s="21"/>
      <c r="R1424" s="22" t="s">
        <v>16</v>
      </c>
      <c r="S1424" s="22" t="s">
        <v>16</v>
      </c>
      <c r="T1424" s="20"/>
      <c r="U1424" s="20"/>
      <c r="V1424" s="20"/>
    </row>
    <row r="1425" spans="1:22" ht="12.75" customHeight="1">
      <c r="A1425" s="460" t="str">
        <f t="shared" si="147"/>
        <v>Hxx</v>
      </c>
      <c r="B1425" s="461" t="s">
        <v>1997</v>
      </c>
      <c r="C1425" s="462"/>
      <c r="D1425" s="462"/>
      <c r="E1425" s="462"/>
      <c r="F1425" s="461">
        <f t="shared" si="143"/>
        <v>0</v>
      </c>
      <c r="G1425" s="476">
        <f t="shared" si="146"/>
        <v>0</v>
      </c>
      <c r="H1425" s="743"/>
      <c r="I1425" s="744"/>
      <c r="J1425" s="744"/>
      <c r="K1425" s="745"/>
      <c r="L1425" s="739"/>
      <c r="M1425" s="20"/>
      <c r="N1425" s="20"/>
      <c r="O1425" s="20"/>
      <c r="P1425" s="20"/>
      <c r="Q1425" s="21"/>
      <c r="R1425" s="22" t="s">
        <v>16</v>
      </c>
      <c r="S1425" s="22" t="s">
        <v>16</v>
      </c>
      <c r="T1425" s="20"/>
      <c r="U1425" s="20"/>
      <c r="V1425" s="20"/>
    </row>
    <row r="1426" spans="1:22" ht="12.75" customHeight="1">
      <c r="A1426" s="460" t="str">
        <f t="shared" si="147"/>
        <v>Hxx</v>
      </c>
      <c r="B1426" s="461" t="s">
        <v>1997</v>
      </c>
      <c r="C1426" s="462"/>
      <c r="D1426" s="462"/>
      <c r="E1426" s="462"/>
      <c r="F1426" s="461">
        <f t="shared" si="143"/>
        <v>0</v>
      </c>
      <c r="G1426" s="476">
        <f t="shared" si="146"/>
        <v>0</v>
      </c>
      <c r="H1426" s="743"/>
      <c r="I1426" s="744"/>
      <c r="J1426" s="744"/>
      <c r="K1426" s="745"/>
      <c r="L1426" s="739"/>
      <c r="M1426" s="20"/>
      <c r="N1426" s="20"/>
      <c r="O1426" s="20"/>
      <c r="P1426" s="20"/>
      <c r="Q1426" s="21"/>
      <c r="R1426" s="22" t="s">
        <v>16</v>
      </c>
      <c r="S1426" s="22" t="s">
        <v>16</v>
      </c>
      <c r="T1426" s="20"/>
      <c r="U1426" s="20"/>
      <c r="V1426" s="20"/>
    </row>
    <row r="1427" spans="1:22" ht="13.5" customHeight="1">
      <c r="A1427" s="460" t="str">
        <f t="shared" si="147"/>
        <v>Hxx</v>
      </c>
      <c r="B1427" s="461" t="s">
        <v>1997</v>
      </c>
      <c r="C1427" s="462"/>
      <c r="D1427" s="462"/>
      <c r="E1427" s="462"/>
      <c r="F1427" s="461">
        <f t="shared" si="143"/>
        <v>0</v>
      </c>
      <c r="G1427" s="476">
        <f t="shared" si="146"/>
        <v>0</v>
      </c>
      <c r="H1427" s="743"/>
      <c r="I1427" s="744"/>
      <c r="J1427" s="744"/>
      <c r="K1427" s="745"/>
      <c r="L1427" s="739"/>
      <c r="M1427" s="20"/>
      <c r="N1427" s="20"/>
      <c r="O1427" s="20"/>
      <c r="P1427" s="20"/>
      <c r="Q1427" s="21"/>
      <c r="R1427" s="22" t="s">
        <v>16</v>
      </c>
      <c r="S1427" s="22" t="s">
        <v>16</v>
      </c>
      <c r="T1427" s="20"/>
      <c r="U1427" s="20"/>
      <c r="V1427" s="20"/>
    </row>
    <row r="1428" spans="1:22" ht="13.8" thickBot="1">
      <c r="A1428" s="460" t="str">
        <f t="shared" si="147"/>
        <v>Hxx</v>
      </c>
      <c r="B1428" s="461" t="s">
        <v>1997</v>
      </c>
      <c r="C1428" s="462"/>
      <c r="D1428" s="462"/>
      <c r="E1428" s="462"/>
      <c r="F1428" s="461">
        <f>E1428</f>
        <v>0</v>
      </c>
      <c r="G1428" s="477">
        <f t="shared" si="146"/>
        <v>0</v>
      </c>
      <c r="H1428" s="761"/>
      <c r="I1428" s="762"/>
      <c r="J1428" s="762"/>
      <c r="K1428" s="763"/>
      <c r="L1428" s="739"/>
      <c r="M1428" s="20"/>
      <c r="N1428" s="20"/>
      <c r="O1428" s="20"/>
      <c r="P1428" s="20"/>
      <c r="Q1428" s="21"/>
      <c r="R1428" s="22" t="s">
        <v>16</v>
      </c>
      <c r="S1428" s="22" t="s">
        <v>16</v>
      </c>
      <c r="T1428" s="20"/>
      <c r="U1428" s="20"/>
      <c r="V1428" s="20"/>
    </row>
    <row r="1429" spans="1:22" ht="25.2" thickBot="1">
      <c r="A1429" s="64" t="s">
        <v>1746</v>
      </c>
      <c r="B1429" s="72"/>
      <c r="C1429" s="73"/>
      <c r="D1429" s="73"/>
      <c r="E1429" s="73"/>
      <c r="F1429" s="73"/>
      <c r="G1429" s="104"/>
      <c r="H1429" s="73"/>
      <c r="I1429" s="73"/>
      <c r="J1429" s="73"/>
      <c r="K1429" s="73"/>
      <c r="L1429" s="93"/>
      <c r="M1429" s="20"/>
      <c r="N1429" s="20"/>
      <c r="O1429" s="20"/>
      <c r="P1429" s="20"/>
      <c r="Q1429" s="21"/>
      <c r="R1429" s="22"/>
      <c r="S1429" s="22"/>
      <c r="T1429" s="20"/>
      <c r="U1429" s="22"/>
      <c r="V1429" s="20"/>
    </row>
    <row r="1430" spans="1:22" ht="12.75" customHeight="1">
      <c r="A1430" s="456" t="s">
        <v>1725</v>
      </c>
      <c r="B1430" s="457" t="s">
        <v>1752</v>
      </c>
      <c r="C1430" s="457">
        <v>80000</v>
      </c>
      <c r="D1430" s="457">
        <v>500</v>
      </c>
      <c r="E1430" s="457">
        <v>0.5</v>
      </c>
      <c r="F1430" s="457">
        <v>8</v>
      </c>
      <c r="G1430" s="475">
        <f t="shared" ref="G1430:G1447" si="148">(C1430*D1430*E1430)*10^-6</f>
        <v>20</v>
      </c>
      <c r="H1430" s="740" t="s">
        <v>1737</v>
      </c>
      <c r="I1430" s="741"/>
      <c r="J1430" s="741"/>
      <c r="K1430" s="742"/>
      <c r="L1430" s="739"/>
      <c r="M1430" s="20"/>
      <c r="N1430" s="20"/>
      <c r="O1430" s="20"/>
      <c r="P1430" s="20"/>
      <c r="Q1430" s="21"/>
      <c r="R1430" s="22" t="s">
        <v>16</v>
      </c>
      <c r="S1430" s="22" t="s">
        <v>16</v>
      </c>
      <c r="T1430" s="20"/>
      <c r="U1430" s="20"/>
      <c r="V1430" s="20"/>
    </row>
    <row r="1431" spans="1:22" ht="12.75" customHeight="1">
      <c r="A1431" s="456" t="s">
        <v>1726</v>
      </c>
      <c r="B1431" s="457" t="s">
        <v>1752</v>
      </c>
      <c r="C1431" s="457">
        <v>40000</v>
      </c>
      <c r="D1431" s="457">
        <v>500</v>
      </c>
      <c r="E1431" s="457">
        <v>0.5</v>
      </c>
      <c r="F1431" s="457">
        <v>10</v>
      </c>
      <c r="G1431" s="476">
        <f t="shared" si="148"/>
        <v>10</v>
      </c>
      <c r="H1431" s="743"/>
      <c r="I1431" s="744"/>
      <c r="J1431" s="744"/>
      <c r="K1431" s="745"/>
      <c r="L1431" s="739"/>
      <c r="M1431" s="20"/>
      <c r="N1431" s="20"/>
      <c r="O1431" s="20"/>
      <c r="P1431" s="20"/>
      <c r="Q1431" s="21"/>
      <c r="R1431" s="22" t="s">
        <v>16</v>
      </c>
      <c r="S1431" s="22" t="s">
        <v>16</v>
      </c>
      <c r="T1431" s="20"/>
      <c r="U1431" s="20"/>
      <c r="V1431" s="20"/>
    </row>
    <row r="1432" spans="1:22" ht="12.75" customHeight="1">
      <c r="A1432" s="456" t="s">
        <v>1727</v>
      </c>
      <c r="B1432" s="457" t="s">
        <v>1752</v>
      </c>
      <c r="C1432" s="457">
        <v>20000</v>
      </c>
      <c r="D1432" s="457">
        <v>500</v>
      </c>
      <c r="E1432" s="457">
        <v>1</v>
      </c>
      <c r="F1432" s="457">
        <v>12</v>
      </c>
      <c r="G1432" s="476">
        <f t="shared" si="148"/>
        <v>10</v>
      </c>
      <c r="H1432" s="743"/>
      <c r="I1432" s="744"/>
      <c r="J1432" s="744"/>
      <c r="K1432" s="745"/>
      <c r="L1432" s="739"/>
      <c r="M1432" s="20"/>
      <c r="N1432" s="20"/>
      <c r="O1432" s="20"/>
      <c r="P1432" s="20"/>
      <c r="Q1432" s="21"/>
      <c r="R1432" s="22" t="s">
        <v>16</v>
      </c>
      <c r="S1432" s="22" t="s">
        <v>16</v>
      </c>
      <c r="T1432" s="20"/>
      <c r="U1432" s="20"/>
      <c r="V1432" s="20"/>
    </row>
    <row r="1433" spans="1:22" ht="12.75" customHeight="1">
      <c r="A1433" s="456" t="s">
        <v>1728</v>
      </c>
      <c r="B1433" s="457" t="s">
        <v>1752</v>
      </c>
      <c r="C1433" s="457">
        <v>30000</v>
      </c>
      <c r="D1433" s="457">
        <v>500</v>
      </c>
      <c r="E1433" s="457">
        <v>1</v>
      </c>
      <c r="F1433" s="457">
        <f>E1433</f>
        <v>1</v>
      </c>
      <c r="G1433" s="476">
        <f t="shared" si="148"/>
        <v>15</v>
      </c>
      <c r="H1433" s="743"/>
      <c r="I1433" s="744"/>
      <c r="J1433" s="744"/>
      <c r="K1433" s="745"/>
      <c r="L1433" s="739"/>
      <c r="M1433" s="20"/>
      <c r="N1433" s="20"/>
      <c r="O1433" s="20"/>
      <c r="P1433" s="20"/>
      <c r="Q1433" s="21"/>
      <c r="R1433" s="22" t="s">
        <v>16</v>
      </c>
      <c r="S1433" s="22" t="s">
        <v>16</v>
      </c>
      <c r="T1433" s="20"/>
      <c r="U1433" s="20"/>
      <c r="V1433" s="20"/>
    </row>
    <row r="1434" spans="1:22" ht="12.75" customHeight="1">
      <c r="A1434" s="456" t="s">
        <v>1729</v>
      </c>
      <c r="B1434" s="457" t="s">
        <v>1752</v>
      </c>
      <c r="C1434" s="457">
        <v>10000</v>
      </c>
      <c r="D1434" s="457">
        <v>500</v>
      </c>
      <c r="E1434" s="457">
        <v>2</v>
      </c>
      <c r="F1434" s="457">
        <f>E1434</f>
        <v>2</v>
      </c>
      <c r="G1434" s="476">
        <f t="shared" si="148"/>
        <v>10</v>
      </c>
      <c r="H1434" s="743"/>
      <c r="I1434" s="744"/>
      <c r="J1434" s="744"/>
      <c r="K1434" s="745"/>
      <c r="L1434" s="739"/>
      <c r="M1434" s="20"/>
      <c r="N1434" s="20"/>
      <c r="O1434" s="20"/>
      <c r="P1434" s="20"/>
      <c r="Q1434" s="21"/>
      <c r="R1434" s="22" t="s">
        <v>16</v>
      </c>
      <c r="S1434" s="22" t="s">
        <v>16</v>
      </c>
      <c r="T1434" s="20"/>
      <c r="U1434" s="20"/>
      <c r="V1434" s="20"/>
    </row>
    <row r="1435" spans="1:22" ht="12.75" customHeight="1">
      <c r="A1435" s="456" t="s">
        <v>1730</v>
      </c>
      <c r="B1435" s="457" t="s">
        <v>1752</v>
      </c>
      <c r="C1435" s="457">
        <v>20000</v>
      </c>
      <c r="D1435" s="457">
        <v>500</v>
      </c>
      <c r="E1435" s="457">
        <v>2</v>
      </c>
      <c r="F1435" s="457">
        <f>E1435</f>
        <v>2</v>
      </c>
      <c r="G1435" s="476">
        <f t="shared" si="148"/>
        <v>20</v>
      </c>
      <c r="H1435" s="743"/>
      <c r="I1435" s="744"/>
      <c r="J1435" s="744"/>
      <c r="K1435" s="745"/>
      <c r="L1435" s="739"/>
      <c r="M1435" s="20"/>
      <c r="N1435" s="20"/>
      <c r="O1435" s="20"/>
      <c r="P1435" s="20"/>
      <c r="Q1435" s="21"/>
      <c r="R1435" s="22" t="s">
        <v>16</v>
      </c>
      <c r="S1435" s="22" t="s">
        <v>16</v>
      </c>
      <c r="T1435" s="20"/>
      <c r="U1435" s="20"/>
      <c r="V1435" s="20"/>
    </row>
    <row r="1436" spans="1:22" ht="12.75" customHeight="1">
      <c r="A1436" s="456" t="s">
        <v>1731</v>
      </c>
      <c r="B1436" s="457" t="s">
        <v>1752</v>
      </c>
      <c r="C1436" s="457">
        <v>10000</v>
      </c>
      <c r="D1436" s="457">
        <v>500</v>
      </c>
      <c r="E1436" s="457">
        <v>3</v>
      </c>
      <c r="F1436" s="457">
        <f>E1436</f>
        <v>3</v>
      </c>
      <c r="G1436" s="476">
        <f t="shared" si="148"/>
        <v>15</v>
      </c>
      <c r="H1436" s="743"/>
      <c r="I1436" s="744"/>
      <c r="J1436" s="744"/>
      <c r="K1436" s="745"/>
      <c r="L1436" s="739"/>
      <c r="M1436" s="20"/>
      <c r="N1436" s="20"/>
      <c r="O1436" s="20"/>
      <c r="P1436" s="20"/>
      <c r="Q1436" s="21"/>
      <c r="R1436" s="22" t="s">
        <v>16</v>
      </c>
      <c r="S1436" s="22" t="s">
        <v>16</v>
      </c>
      <c r="T1436" s="20"/>
      <c r="U1436" s="20"/>
      <c r="V1436" s="20"/>
    </row>
    <row r="1437" spans="1:22" ht="12.75" customHeight="1">
      <c r="A1437" s="456" t="s">
        <v>1732</v>
      </c>
      <c r="B1437" s="457" t="s">
        <v>1752</v>
      </c>
      <c r="C1437" s="457">
        <v>15000</v>
      </c>
      <c r="D1437" s="457">
        <v>500</v>
      </c>
      <c r="E1437" s="457">
        <v>3</v>
      </c>
      <c r="F1437" s="457">
        <f t="shared" ref="F1437:F1441" si="149">E1437</f>
        <v>3</v>
      </c>
      <c r="G1437" s="476">
        <f t="shared" si="148"/>
        <v>22.5</v>
      </c>
      <c r="H1437" s="743"/>
      <c r="I1437" s="744"/>
      <c r="J1437" s="744"/>
      <c r="K1437" s="745"/>
      <c r="L1437" s="739"/>
      <c r="M1437" s="20"/>
      <c r="N1437" s="20"/>
      <c r="O1437" s="20"/>
      <c r="P1437" s="20"/>
      <c r="Q1437" s="21"/>
      <c r="R1437" s="22" t="s">
        <v>16</v>
      </c>
      <c r="S1437" s="22" t="s">
        <v>16</v>
      </c>
      <c r="T1437" s="20"/>
      <c r="U1437" s="20"/>
      <c r="V1437" s="20"/>
    </row>
    <row r="1438" spans="1:22" ht="12.75" customHeight="1">
      <c r="A1438" s="456" t="s">
        <v>1733</v>
      </c>
      <c r="B1438" s="457" t="s">
        <v>1752</v>
      </c>
      <c r="C1438" s="457">
        <v>20000</v>
      </c>
      <c r="D1438" s="457">
        <v>500</v>
      </c>
      <c r="E1438" s="457">
        <v>3</v>
      </c>
      <c r="F1438" s="457">
        <f t="shared" si="149"/>
        <v>3</v>
      </c>
      <c r="G1438" s="476">
        <f t="shared" si="148"/>
        <v>30</v>
      </c>
      <c r="H1438" s="743"/>
      <c r="I1438" s="744"/>
      <c r="J1438" s="744"/>
      <c r="K1438" s="745"/>
      <c r="L1438" s="739"/>
      <c r="M1438" s="20"/>
      <c r="N1438" s="20"/>
      <c r="O1438" s="20"/>
      <c r="P1438" s="20"/>
      <c r="Q1438" s="21"/>
      <c r="R1438" s="22" t="s">
        <v>16</v>
      </c>
      <c r="S1438" s="22" t="s">
        <v>16</v>
      </c>
      <c r="T1438" s="20"/>
      <c r="U1438" s="20"/>
      <c r="V1438" s="20"/>
    </row>
    <row r="1439" spans="1:22" ht="12.75" customHeight="1">
      <c r="A1439" s="456" t="s">
        <v>1734</v>
      </c>
      <c r="B1439" s="457" t="s">
        <v>1752</v>
      </c>
      <c r="C1439" s="457">
        <v>10000</v>
      </c>
      <c r="D1439" s="457">
        <v>500</v>
      </c>
      <c r="E1439" s="457">
        <v>4</v>
      </c>
      <c r="F1439" s="457">
        <f t="shared" si="149"/>
        <v>4</v>
      </c>
      <c r="G1439" s="476">
        <f t="shared" si="148"/>
        <v>20</v>
      </c>
      <c r="H1439" s="743"/>
      <c r="I1439" s="744"/>
      <c r="J1439" s="744"/>
      <c r="K1439" s="745"/>
      <c r="L1439" s="739"/>
      <c r="M1439" s="20"/>
      <c r="N1439" s="20"/>
      <c r="O1439" s="20"/>
      <c r="P1439" s="20"/>
      <c r="Q1439" s="21"/>
      <c r="R1439" s="22" t="s">
        <v>16</v>
      </c>
      <c r="S1439" s="22" t="s">
        <v>16</v>
      </c>
      <c r="T1439" s="20"/>
      <c r="U1439" s="20"/>
      <c r="V1439" s="20"/>
    </row>
    <row r="1440" spans="1:22" ht="12.75" customHeight="1">
      <c r="A1440" s="456" t="s">
        <v>1735</v>
      </c>
      <c r="B1440" s="457" t="s">
        <v>1752</v>
      </c>
      <c r="C1440" s="457">
        <v>10000</v>
      </c>
      <c r="D1440" s="457">
        <v>500</v>
      </c>
      <c r="E1440" s="457">
        <v>5</v>
      </c>
      <c r="F1440" s="457">
        <f t="shared" si="149"/>
        <v>5</v>
      </c>
      <c r="G1440" s="476">
        <f t="shared" si="148"/>
        <v>25</v>
      </c>
      <c r="H1440" s="743"/>
      <c r="I1440" s="744"/>
      <c r="J1440" s="744"/>
      <c r="K1440" s="745"/>
      <c r="L1440" s="739"/>
      <c r="M1440" s="20"/>
      <c r="N1440" s="20"/>
      <c r="O1440" s="20"/>
      <c r="P1440" s="20"/>
      <c r="Q1440" s="21"/>
      <c r="R1440" s="22" t="s">
        <v>16</v>
      </c>
      <c r="S1440" s="22" t="s">
        <v>16</v>
      </c>
      <c r="T1440" s="20"/>
      <c r="U1440" s="20"/>
      <c r="V1440" s="20"/>
    </row>
    <row r="1441" spans="1:22" ht="12.75" customHeight="1" thickBot="1">
      <c r="A1441" s="456" t="s">
        <v>1736</v>
      </c>
      <c r="B1441" s="457" t="s">
        <v>1752</v>
      </c>
      <c r="C1441" s="457">
        <v>10000</v>
      </c>
      <c r="D1441" s="457">
        <v>500</v>
      </c>
      <c r="E1441" s="457">
        <v>6</v>
      </c>
      <c r="F1441" s="457">
        <f t="shared" si="149"/>
        <v>6</v>
      </c>
      <c r="G1441" s="476">
        <f t="shared" si="148"/>
        <v>30</v>
      </c>
      <c r="H1441" s="743"/>
      <c r="I1441" s="744"/>
      <c r="J1441" s="744"/>
      <c r="K1441" s="745"/>
      <c r="L1441" s="739"/>
      <c r="M1441" s="20"/>
      <c r="N1441" s="20"/>
      <c r="O1441" s="20"/>
      <c r="P1441" s="20"/>
      <c r="Q1441" s="21"/>
      <c r="R1441" s="22" t="s">
        <v>16</v>
      </c>
      <c r="S1441" s="22" t="s">
        <v>16</v>
      </c>
      <c r="T1441" s="20"/>
      <c r="U1441" s="20"/>
      <c r="V1441" s="20"/>
    </row>
    <row r="1442" spans="1:22" ht="12.75" customHeight="1">
      <c r="A1442" s="632" t="s">
        <v>2195</v>
      </c>
      <c r="B1442" s="459" t="s">
        <v>1752</v>
      </c>
      <c r="C1442" s="459">
        <v>5500</v>
      </c>
      <c r="D1442" s="459">
        <v>610</v>
      </c>
      <c r="E1442" s="459">
        <v>6</v>
      </c>
      <c r="F1442" s="459">
        <f t="shared" ref="F1442:F1447" si="150">E1442</f>
        <v>6</v>
      </c>
      <c r="G1442" s="476">
        <f t="shared" si="148"/>
        <v>20.13</v>
      </c>
      <c r="H1442" s="746" t="s">
        <v>1753</v>
      </c>
      <c r="I1442" s="747"/>
      <c r="J1442" s="747"/>
      <c r="K1442" s="748"/>
      <c r="L1442" s="739"/>
      <c r="M1442" s="20"/>
      <c r="N1442" s="20"/>
      <c r="O1442" s="20"/>
      <c r="P1442" s="20"/>
      <c r="Q1442" s="21"/>
      <c r="R1442" s="22"/>
      <c r="S1442" s="22"/>
      <c r="T1442" s="20"/>
      <c r="U1442" s="20"/>
      <c r="V1442" s="20"/>
    </row>
    <row r="1443" spans="1:22" ht="12.75" customHeight="1">
      <c r="A1443" s="458" t="s">
        <v>1747</v>
      </c>
      <c r="B1443" s="459" t="s">
        <v>1752</v>
      </c>
      <c r="C1443" s="459">
        <v>14640</v>
      </c>
      <c r="D1443" s="459">
        <v>610</v>
      </c>
      <c r="E1443" s="459">
        <v>13</v>
      </c>
      <c r="F1443" s="459">
        <f t="shared" si="150"/>
        <v>13</v>
      </c>
      <c r="G1443" s="476">
        <f t="shared" si="148"/>
        <v>116.09519999999999</v>
      </c>
      <c r="H1443" s="749"/>
      <c r="I1443" s="750"/>
      <c r="J1443" s="750"/>
      <c r="K1443" s="751"/>
      <c r="L1443" s="739"/>
      <c r="M1443" s="20"/>
      <c r="N1443" s="20"/>
      <c r="O1443" s="20"/>
      <c r="P1443" s="20"/>
      <c r="Q1443" s="21"/>
      <c r="R1443" s="22"/>
      <c r="S1443" s="22"/>
      <c r="T1443" s="20"/>
      <c r="U1443" s="20"/>
      <c r="V1443" s="20"/>
    </row>
    <row r="1444" spans="1:22" ht="12.75" customHeight="1">
      <c r="A1444" s="458" t="s">
        <v>1748</v>
      </c>
      <c r="B1444" s="459" t="s">
        <v>1752</v>
      </c>
      <c r="C1444" s="459">
        <v>9760</v>
      </c>
      <c r="D1444" s="459">
        <v>610</v>
      </c>
      <c r="E1444" s="459">
        <v>19</v>
      </c>
      <c r="F1444" s="459">
        <f t="shared" si="150"/>
        <v>19</v>
      </c>
      <c r="G1444" s="476">
        <f t="shared" si="148"/>
        <v>113.11839999999999</v>
      </c>
      <c r="H1444" s="749"/>
      <c r="I1444" s="750"/>
      <c r="J1444" s="750"/>
      <c r="K1444" s="751"/>
      <c r="L1444" s="739"/>
      <c r="M1444" s="20"/>
      <c r="N1444" s="20"/>
      <c r="O1444" s="20"/>
      <c r="P1444" s="20"/>
      <c r="Q1444" s="21"/>
      <c r="R1444" s="22"/>
      <c r="S1444" s="22"/>
      <c r="T1444" s="20"/>
      <c r="U1444" s="20"/>
      <c r="V1444" s="20"/>
    </row>
    <row r="1445" spans="1:22" ht="12.75" customHeight="1">
      <c r="A1445" s="458" t="s">
        <v>1749</v>
      </c>
      <c r="B1445" s="459" t="s">
        <v>1752</v>
      </c>
      <c r="C1445" s="459">
        <v>7320</v>
      </c>
      <c r="D1445" s="459">
        <v>610</v>
      </c>
      <c r="E1445" s="459">
        <v>25</v>
      </c>
      <c r="F1445" s="459">
        <f t="shared" si="150"/>
        <v>25</v>
      </c>
      <c r="G1445" s="476">
        <f t="shared" si="148"/>
        <v>111.63</v>
      </c>
      <c r="H1445" s="749"/>
      <c r="I1445" s="750"/>
      <c r="J1445" s="750"/>
      <c r="K1445" s="751"/>
      <c r="L1445" s="739"/>
      <c r="M1445" s="20"/>
      <c r="N1445" s="20"/>
      <c r="O1445" s="20"/>
      <c r="P1445" s="20"/>
      <c r="Q1445" s="21"/>
      <c r="R1445" s="22"/>
      <c r="S1445" s="22"/>
      <c r="T1445" s="20"/>
      <c r="U1445" s="20"/>
      <c r="V1445" s="20"/>
    </row>
    <row r="1446" spans="1:22" ht="12.75" customHeight="1">
      <c r="A1446" s="458" t="s">
        <v>1750</v>
      </c>
      <c r="B1446" s="459" t="s">
        <v>1752</v>
      </c>
      <c r="C1446" s="459">
        <v>4880</v>
      </c>
      <c r="D1446" s="459">
        <v>610</v>
      </c>
      <c r="E1446" s="459">
        <v>38</v>
      </c>
      <c r="F1446" s="459">
        <f t="shared" si="150"/>
        <v>38</v>
      </c>
      <c r="G1446" s="476">
        <f t="shared" si="148"/>
        <v>113.11839999999999</v>
      </c>
      <c r="H1446" s="749"/>
      <c r="I1446" s="750"/>
      <c r="J1446" s="750"/>
      <c r="K1446" s="751"/>
      <c r="L1446" s="739"/>
      <c r="M1446" s="20"/>
      <c r="N1446" s="20"/>
      <c r="O1446" s="20"/>
      <c r="P1446" s="20"/>
      <c r="Q1446" s="21"/>
      <c r="R1446" s="22"/>
      <c r="S1446" s="22"/>
      <c r="T1446" s="20"/>
      <c r="U1446" s="20"/>
      <c r="V1446" s="20"/>
    </row>
    <row r="1447" spans="1:22" ht="12.75" customHeight="1" thickBot="1">
      <c r="A1447" s="458" t="s">
        <v>1751</v>
      </c>
      <c r="B1447" s="459" t="s">
        <v>1752</v>
      </c>
      <c r="C1447" s="459">
        <v>3660</v>
      </c>
      <c r="D1447" s="459">
        <v>610</v>
      </c>
      <c r="E1447" s="459">
        <v>50</v>
      </c>
      <c r="F1447" s="459">
        <f t="shared" si="150"/>
        <v>50</v>
      </c>
      <c r="G1447" s="476">
        <f t="shared" si="148"/>
        <v>111.63</v>
      </c>
      <c r="H1447" s="752"/>
      <c r="I1447" s="753"/>
      <c r="J1447" s="753"/>
      <c r="K1447" s="754"/>
      <c r="L1447" s="739"/>
      <c r="M1447" s="20"/>
      <c r="N1447" s="20"/>
      <c r="O1447" s="20"/>
      <c r="P1447" s="20"/>
      <c r="Q1447" s="21"/>
      <c r="R1447" s="22"/>
      <c r="S1447" s="22"/>
      <c r="T1447" s="20"/>
      <c r="U1447" s="20"/>
      <c r="V1447" s="20"/>
    </row>
    <row r="1448" spans="1:22" ht="13.5" customHeight="1">
      <c r="A1448" s="3" t="s">
        <v>1738</v>
      </c>
      <c r="B1448" s="3" t="s">
        <v>16</v>
      </c>
      <c r="C1448" s="3" t="s">
        <v>16</v>
      </c>
      <c r="D1448" s="3" t="s">
        <v>16</v>
      </c>
      <c r="E1448" s="3" t="s">
        <v>16</v>
      </c>
      <c r="F1448" s="3" t="s">
        <v>16</v>
      </c>
      <c r="G1448" s="476">
        <v>1</v>
      </c>
      <c r="H1448" s="740" t="s">
        <v>1745</v>
      </c>
      <c r="I1448" s="741"/>
      <c r="J1448" s="741"/>
      <c r="K1448" s="742"/>
      <c r="L1448" s="739"/>
      <c r="M1448" s="20"/>
      <c r="N1448" s="20"/>
      <c r="O1448" s="20"/>
      <c r="P1448" s="20"/>
      <c r="Q1448" s="21"/>
      <c r="R1448" s="22" t="s">
        <v>16</v>
      </c>
      <c r="S1448" s="22" t="s">
        <v>16</v>
      </c>
      <c r="T1448" s="20"/>
      <c r="U1448" s="20"/>
      <c r="V1448" s="20"/>
    </row>
    <row r="1449" spans="1:22" ht="12.75" customHeight="1">
      <c r="A1449" s="3" t="s">
        <v>1739</v>
      </c>
      <c r="B1449" s="3" t="s">
        <v>16</v>
      </c>
      <c r="C1449" s="3" t="s">
        <v>16</v>
      </c>
      <c r="D1449" s="3" t="s">
        <v>16</v>
      </c>
      <c r="E1449" s="3" t="s">
        <v>16</v>
      </c>
      <c r="F1449" s="3" t="s">
        <v>16</v>
      </c>
      <c r="G1449" s="476">
        <v>2</v>
      </c>
      <c r="H1449" s="743"/>
      <c r="I1449" s="744"/>
      <c r="J1449" s="744"/>
      <c r="K1449" s="745"/>
      <c r="L1449" s="739"/>
      <c r="M1449" s="20"/>
      <c r="N1449" s="20"/>
      <c r="O1449" s="20"/>
      <c r="P1449" s="20"/>
      <c r="Q1449" s="21"/>
      <c r="R1449" s="22" t="s">
        <v>16</v>
      </c>
      <c r="S1449" s="22" t="s">
        <v>16</v>
      </c>
      <c r="T1449" s="20"/>
      <c r="U1449" s="20"/>
      <c r="V1449" s="20"/>
    </row>
    <row r="1450" spans="1:22" ht="12.75" customHeight="1">
      <c r="A1450" s="3" t="s">
        <v>1740</v>
      </c>
      <c r="B1450" s="3" t="s">
        <v>16</v>
      </c>
      <c r="C1450" s="3" t="s">
        <v>16</v>
      </c>
      <c r="D1450" s="3" t="s">
        <v>16</v>
      </c>
      <c r="E1450" s="3" t="s">
        <v>16</v>
      </c>
      <c r="F1450" s="3" t="s">
        <v>16</v>
      </c>
      <c r="G1450" s="476">
        <v>3</v>
      </c>
      <c r="H1450" s="743"/>
      <c r="I1450" s="744"/>
      <c r="J1450" s="744"/>
      <c r="K1450" s="745"/>
      <c r="L1450" s="739"/>
      <c r="M1450" s="20"/>
      <c r="N1450" s="20"/>
      <c r="O1450" s="20"/>
      <c r="P1450" s="20"/>
      <c r="Q1450" s="21"/>
      <c r="R1450" s="22" t="s">
        <v>16</v>
      </c>
      <c r="S1450" s="22" t="s">
        <v>16</v>
      </c>
      <c r="T1450" s="20"/>
      <c r="U1450" s="20"/>
      <c r="V1450" s="20"/>
    </row>
    <row r="1451" spans="1:22" ht="12.75" customHeight="1">
      <c r="A1451" s="3" t="s">
        <v>1741</v>
      </c>
      <c r="B1451" s="3" t="s">
        <v>16</v>
      </c>
      <c r="C1451" s="3" t="s">
        <v>16</v>
      </c>
      <c r="D1451" s="3" t="s">
        <v>16</v>
      </c>
      <c r="E1451" s="3" t="s">
        <v>16</v>
      </c>
      <c r="F1451" s="3" t="s">
        <v>16</v>
      </c>
      <c r="G1451" s="476">
        <v>6</v>
      </c>
      <c r="H1451" s="743"/>
      <c r="I1451" s="744"/>
      <c r="J1451" s="744"/>
      <c r="K1451" s="745"/>
      <c r="L1451" s="739"/>
      <c r="M1451" s="20"/>
      <c r="N1451" s="20"/>
      <c r="O1451" s="20"/>
      <c r="P1451" s="20"/>
      <c r="Q1451" s="21"/>
      <c r="R1451" s="22" t="s">
        <v>16</v>
      </c>
      <c r="S1451" s="22" t="s">
        <v>16</v>
      </c>
      <c r="T1451" s="20"/>
      <c r="U1451" s="20"/>
      <c r="V1451" s="20"/>
    </row>
    <row r="1452" spans="1:22" ht="12.75" customHeight="1">
      <c r="A1452" s="294" t="s">
        <v>1742</v>
      </c>
      <c r="B1452" s="3" t="s">
        <v>16</v>
      </c>
      <c r="C1452" s="3" t="s">
        <v>16</v>
      </c>
      <c r="D1452" s="3" t="s">
        <v>16</v>
      </c>
      <c r="E1452" s="3" t="s">
        <v>16</v>
      </c>
      <c r="F1452" s="3" t="s">
        <v>16</v>
      </c>
      <c r="G1452" s="476">
        <v>13</v>
      </c>
      <c r="H1452" s="743"/>
      <c r="I1452" s="744"/>
      <c r="J1452" s="744"/>
      <c r="K1452" s="745"/>
      <c r="L1452" s="739"/>
      <c r="M1452" s="20"/>
      <c r="N1452" s="20"/>
      <c r="O1452" s="20"/>
      <c r="P1452" s="20"/>
      <c r="Q1452" s="21"/>
      <c r="R1452" s="22" t="s">
        <v>16</v>
      </c>
      <c r="S1452" s="22" t="s">
        <v>16</v>
      </c>
      <c r="T1452" s="20"/>
      <c r="U1452" s="20"/>
      <c r="V1452" s="20"/>
    </row>
    <row r="1453" spans="1:22" ht="12.75" customHeight="1">
      <c r="A1453" s="294" t="s">
        <v>1743</v>
      </c>
      <c r="B1453" s="3" t="s">
        <v>16</v>
      </c>
      <c r="C1453" s="3" t="s">
        <v>16</v>
      </c>
      <c r="D1453" s="3" t="s">
        <v>16</v>
      </c>
      <c r="E1453" s="3" t="s">
        <v>16</v>
      </c>
      <c r="F1453" s="3" t="s">
        <v>16</v>
      </c>
      <c r="G1453" s="476">
        <v>19</v>
      </c>
      <c r="H1453" s="743"/>
      <c r="I1453" s="744"/>
      <c r="J1453" s="744"/>
      <c r="K1453" s="745"/>
      <c r="L1453" s="739"/>
      <c r="M1453" s="20"/>
      <c r="N1453" s="20"/>
      <c r="O1453" s="20"/>
      <c r="P1453" s="20"/>
      <c r="Q1453" s="21"/>
      <c r="R1453" s="22" t="s">
        <v>16</v>
      </c>
      <c r="S1453" s="22" t="s">
        <v>16</v>
      </c>
      <c r="T1453" s="20"/>
      <c r="U1453" s="20"/>
      <c r="V1453" s="20"/>
    </row>
    <row r="1454" spans="1:22" ht="12.75" customHeight="1">
      <c r="A1454" s="294" t="s">
        <v>1744</v>
      </c>
      <c r="B1454" s="3" t="s">
        <v>16</v>
      </c>
      <c r="C1454" s="3" t="s">
        <v>16</v>
      </c>
      <c r="D1454" s="3" t="s">
        <v>16</v>
      </c>
      <c r="E1454" s="3" t="s">
        <v>16</v>
      </c>
      <c r="F1454" s="3" t="s">
        <v>16</v>
      </c>
      <c r="G1454" s="476">
        <v>25</v>
      </c>
      <c r="H1454" s="743"/>
      <c r="I1454" s="744"/>
      <c r="J1454" s="744"/>
      <c r="K1454" s="745"/>
      <c r="L1454" s="739"/>
      <c r="M1454" s="20"/>
      <c r="N1454" s="20"/>
      <c r="O1454" s="20"/>
      <c r="P1454" s="20"/>
      <c r="Q1454" s="21"/>
      <c r="R1454" s="22" t="s">
        <v>16</v>
      </c>
      <c r="S1454" s="22" t="s">
        <v>16</v>
      </c>
      <c r="T1454" s="20"/>
      <c r="U1454" s="20"/>
      <c r="V1454" s="20"/>
    </row>
    <row r="1455" spans="1:22" ht="12.75" customHeight="1">
      <c r="A1455" s="294" t="s">
        <v>1754</v>
      </c>
      <c r="B1455" s="3" t="s">
        <v>16</v>
      </c>
      <c r="C1455" s="3" t="s">
        <v>16</v>
      </c>
      <c r="D1455" s="3" t="s">
        <v>16</v>
      </c>
      <c r="E1455" s="3" t="s">
        <v>16</v>
      </c>
      <c r="F1455" s="3" t="s">
        <v>16</v>
      </c>
      <c r="G1455" s="476">
        <v>38</v>
      </c>
      <c r="H1455" s="743"/>
      <c r="I1455" s="744"/>
      <c r="J1455" s="744"/>
      <c r="K1455" s="745"/>
      <c r="L1455" s="739"/>
      <c r="M1455" s="20"/>
      <c r="N1455" s="20"/>
      <c r="O1455" s="20"/>
      <c r="P1455" s="20"/>
      <c r="Q1455" s="21"/>
      <c r="R1455" s="22" t="s">
        <v>16</v>
      </c>
      <c r="S1455" s="22" t="s">
        <v>16</v>
      </c>
      <c r="T1455" s="20"/>
      <c r="U1455" s="20"/>
      <c r="V1455" s="20"/>
    </row>
    <row r="1456" spans="1:22" ht="12.75" customHeight="1" thickBot="1">
      <c r="A1456" s="294" t="s">
        <v>1755</v>
      </c>
      <c r="B1456" s="3" t="s">
        <v>16</v>
      </c>
      <c r="C1456" s="3" t="s">
        <v>16</v>
      </c>
      <c r="D1456" s="3" t="s">
        <v>16</v>
      </c>
      <c r="E1456" s="3" t="s">
        <v>16</v>
      </c>
      <c r="F1456" s="3" t="s">
        <v>16</v>
      </c>
      <c r="G1456" s="476">
        <v>50</v>
      </c>
      <c r="H1456" s="743"/>
      <c r="I1456" s="744"/>
      <c r="J1456" s="744"/>
      <c r="K1456" s="745"/>
      <c r="L1456" s="739"/>
      <c r="M1456" s="20"/>
      <c r="N1456" s="20"/>
      <c r="O1456" s="20"/>
      <c r="P1456" s="20"/>
      <c r="Q1456" s="21"/>
      <c r="R1456" s="22" t="s">
        <v>16</v>
      </c>
      <c r="S1456" s="22" t="s">
        <v>16</v>
      </c>
      <c r="T1456" s="20"/>
      <c r="U1456" s="20"/>
      <c r="V1456" s="20"/>
    </row>
    <row r="1457" spans="1:22" ht="25.2" thickBot="1">
      <c r="A1457" s="64" t="s">
        <v>654</v>
      </c>
      <c r="B1457" s="94"/>
      <c r="C1457" s="94"/>
      <c r="D1457" s="94"/>
      <c r="E1457" s="94"/>
      <c r="F1457" s="94"/>
      <c r="G1457" s="106"/>
      <c r="H1457" s="95"/>
      <c r="I1457" s="95"/>
      <c r="J1457" s="95"/>
      <c r="K1457" s="95"/>
      <c r="L1457" s="95"/>
      <c r="M1457" s="95"/>
      <c r="N1457" s="95"/>
      <c r="O1457" s="95"/>
      <c r="P1457" s="95"/>
      <c r="Q1457" s="96"/>
      <c r="R1457" s="22"/>
      <c r="S1457" s="22"/>
      <c r="T1457" s="20"/>
      <c r="U1457" s="20"/>
      <c r="V1457" s="20"/>
    </row>
    <row r="1458" spans="1:22">
      <c r="B1458" s="3"/>
      <c r="C1458" s="3"/>
      <c r="D1458" s="3"/>
      <c r="E1458" s="3"/>
      <c r="F1458" s="3"/>
      <c r="G1458" s="21"/>
      <c r="H1458" s="20"/>
      <c r="I1458" s="20"/>
      <c r="J1458" s="20"/>
      <c r="K1458" s="20"/>
      <c r="L1458" s="20"/>
      <c r="M1458" s="20"/>
      <c r="N1458" s="20"/>
      <c r="O1458" s="20"/>
      <c r="P1458" s="20"/>
      <c r="Q1458" s="21"/>
      <c r="R1458" s="22"/>
      <c r="S1458" s="22"/>
      <c r="T1458" s="20"/>
      <c r="U1458" s="20"/>
      <c r="V1458" s="20"/>
    </row>
    <row r="1459" spans="1:22">
      <c r="A1459" s="294" t="s">
        <v>1841</v>
      </c>
      <c r="B1459" s="3" t="s">
        <v>16</v>
      </c>
      <c r="C1459" s="3" t="s">
        <v>16</v>
      </c>
      <c r="D1459" s="3" t="s">
        <v>16</v>
      </c>
      <c r="E1459" s="3" t="s">
        <v>16</v>
      </c>
      <c r="F1459" s="3" t="s">
        <v>16</v>
      </c>
      <c r="G1459" s="21">
        <v>1</v>
      </c>
      <c r="H1459" s="20" t="s">
        <v>16</v>
      </c>
      <c r="I1459" s="20" t="s">
        <v>16</v>
      </c>
      <c r="J1459" s="20" t="s">
        <v>16</v>
      </c>
      <c r="K1459" s="20"/>
      <c r="L1459" s="20"/>
      <c r="M1459" s="20"/>
      <c r="N1459" s="20"/>
      <c r="O1459" s="20"/>
      <c r="P1459" s="20"/>
      <c r="Q1459" s="24"/>
      <c r="R1459" s="22" t="s">
        <v>16</v>
      </c>
      <c r="S1459" s="22" t="s">
        <v>16</v>
      </c>
      <c r="T1459" s="20"/>
      <c r="U1459" s="20"/>
      <c r="V1459" s="20"/>
    </row>
    <row r="1460" spans="1:22" ht="13.8" thickBot="1">
      <c r="B1460" s="3"/>
      <c r="C1460" s="3"/>
      <c r="D1460" s="3"/>
      <c r="E1460" s="3"/>
      <c r="F1460" s="3"/>
      <c r="G1460" s="21"/>
      <c r="H1460" s="20"/>
      <c r="I1460" s="20"/>
      <c r="J1460" s="20"/>
      <c r="K1460" s="20"/>
      <c r="L1460" s="20"/>
      <c r="M1460" s="20"/>
      <c r="N1460" s="20"/>
      <c r="O1460" s="20"/>
      <c r="P1460" s="20"/>
      <c r="Q1460" s="21"/>
      <c r="R1460" s="22"/>
      <c r="S1460" s="22"/>
      <c r="T1460" s="20"/>
      <c r="U1460" s="20"/>
      <c r="V1460" s="20"/>
    </row>
    <row r="1461" spans="1:22" ht="25.2" thickBot="1">
      <c r="A1461" s="64" t="s">
        <v>655</v>
      </c>
      <c r="B1461" s="94"/>
      <c r="C1461" s="94"/>
      <c r="D1461" s="94"/>
      <c r="E1461" s="94"/>
      <c r="F1461" s="94"/>
      <c r="G1461" s="106"/>
      <c r="H1461" s="95"/>
      <c r="I1461" s="95"/>
      <c r="J1461" s="95"/>
      <c r="K1461" s="95"/>
      <c r="L1461" s="99"/>
      <c r="M1461" s="20"/>
      <c r="N1461" s="20"/>
      <c r="O1461" s="20"/>
      <c r="P1461" s="20"/>
      <c r="Q1461" s="24"/>
      <c r="R1461" s="22"/>
      <c r="S1461" s="22"/>
      <c r="T1461" s="20"/>
      <c r="U1461" s="20"/>
      <c r="V1461" s="20"/>
    </row>
    <row r="1462" spans="1:22">
      <c r="A1462" s="3" t="s">
        <v>117</v>
      </c>
      <c r="B1462" s="3" t="s">
        <v>16</v>
      </c>
      <c r="C1462" s="3" t="s">
        <v>16</v>
      </c>
      <c r="D1462" s="3" t="s">
        <v>16</v>
      </c>
      <c r="E1462" s="3" t="s">
        <v>16</v>
      </c>
      <c r="F1462" s="3" t="s">
        <v>16</v>
      </c>
      <c r="G1462" s="21">
        <v>1</v>
      </c>
      <c r="H1462" s="20" t="s">
        <v>16</v>
      </c>
      <c r="I1462" s="20" t="s">
        <v>16</v>
      </c>
      <c r="J1462" s="20" t="s">
        <v>16</v>
      </c>
      <c r="M1462" s="20"/>
      <c r="N1462" s="20"/>
      <c r="O1462" s="20"/>
      <c r="P1462" s="20"/>
      <c r="Q1462" s="24"/>
    </row>
    <row r="1463" spans="1:22" ht="13.8" thickBot="1">
      <c r="A1463" s="3" t="s">
        <v>118</v>
      </c>
      <c r="B1463" s="3" t="s">
        <v>16</v>
      </c>
      <c r="C1463" s="3" t="s">
        <v>16</v>
      </c>
      <c r="D1463" s="3" t="s">
        <v>16</v>
      </c>
      <c r="E1463" s="3" t="s">
        <v>16</v>
      </c>
      <c r="F1463" s="3" t="s">
        <v>16</v>
      </c>
      <c r="G1463" s="21">
        <v>1</v>
      </c>
      <c r="H1463" s="20" t="s">
        <v>16</v>
      </c>
      <c r="I1463" s="20" t="s">
        <v>16</v>
      </c>
      <c r="J1463" s="20" t="s">
        <v>16</v>
      </c>
      <c r="M1463" s="20"/>
      <c r="N1463" s="20"/>
      <c r="O1463" s="20"/>
      <c r="P1463" s="20"/>
      <c r="Q1463" s="24"/>
    </row>
    <row r="1464" spans="1:22" ht="25.2" thickBot="1">
      <c r="A1464" s="64" t="s">
        <v>788</v>
      </c>
      <c r="B1464" s="94"/>
      <c r="C1464" s="94"/>
      <c r="D1464" s="94"/>
      <c r="E1464" s="94"/>
      <c r="F1464" s="94"/>
      <c r="G1464" s="106"/>
      <c r="H1464" s="95"/>
      <c r="I1464" s="95"/>
      <c r="J1464" s="95"/>
      <c r="K1464" s="95"/>
      <c r="L1464" s="99"/>
      <c r="M1464" s="20"/>
      <c r="N1464" s="20"/>
      <c r="O1464" s="20"/>
      <c r="P1464" s="20"/>
      <c r="Q1464" s="24"/>
      <c r="R1464" s="22"/>
      <c r="S1464" s="22"/>
      <c r="T1464" s="20"/>
      <c r="U1464" s="20"/>
      <c r="V1464" s="20"/>
    </row>
    <row r="1465" spans="1:22">
      <c r="A1465" s="35" t="s">
        <v>300</v>
      </c>
      <c r="B1465" s="36">
        <v>81673</v>
      </c>
      <c r="C1465" s="36"/>
      <c r="D1465" s="36" t="s">
        <v>318</v>
      </c>
      <c r="E1465" s="36"/>
      <c r="F1465" s="36"/>
      <c r="G1465" s="107">
        <v>9.2170000000000005</v>
      </c>
      <c r="H1465" s="37"/>
      <c r="I1465" s="37"/>
      <c r="J1465" s="37"/>
      <c r="K1465" s="38"/>
      <c r="L1465" s="774" t="s">
        <v>380</v>
      </c>
    </row>
    <row r="1466" spans="1:22">
      <c r="A1466" s="39" t="s">
        <v>301</v>
      </c>
      <c r="B1466" s="32">
        <v>81674</v>
      </c>
      <c r="C1466" s="32"/>
      <c r="D1466" s="32" t="s">
        <v>319</v>
      </c>
      <c r="E1466" s="32"/>
      <c r="F1466" s="32"/>
      <c r="G1466" s="108">
        <v>8.9440000000000008</v>
      </c>
      <c r="H1466" s="40"/>
      <c r="I1466" s="40"/>
      <c r="J1466" s="40"/>
      <c r="K1466" s="41"/>
      <c r="L1466" s="775"/>
    </row>
    <row r="1467" spans="1:22">
      <c r="A1467" s="39" t="s">
        <v>302</v>
      </c>
      <c r="B1467" s="32">
        <v>81675</v>
      </c>
      <c r="C1467" s="32"/>
      <c r="D1467" s="32" t="s">
        <v>320</v>
      </c>
      <c r="E1467" s="32"/>
      <c r="F1467" s="32"/>
      <c r="G1467" s="108">
        <v>8.6479999999999997</v>
      </c>
      <c r="H1467" s="40"/>
      <c r="I1467" s="40"/>
      <c r="J1467" s="40"/>
      <c r="K1467" s="41"/>
      <c r="L1467" s="775"/>
    </row>
    <row r="1468" spans="1:22">
      <c r="A1468" s="39" t="s">
        <v>303</v>
      </c>
      <c r="B1468" s="32">
        <v>81676</v>
      </c>
      <c r="C1468" s="32"/>
      <c r="D1468" s="32" t="s">
        <v>321</v>
      </c>
      <c r="E1468" s="32"/>
      <c r="F1468" s="32"/>
      <c r="G1468" s="108">
        <v>8.3279999999999994</v>
      </c>
      <c r="H1468" s="40"/>
      <c r="I1468" s="40"/>
      <c r="J1468" s="40"/>
      <c r="K1468" s="41"/>
      <c r="L1468" s="775"/>
    </row>
    <row r="1469" spans="1:22">
      <c r="A1469" s="39" t="s">
        <v>309</v>
      </c>
      <c r="B1469" s="32">
        <v>81677</v>
      </c>
      <c r="C1469" s="32"/>
      <c r="D1469" s="32" t="s">
        <v>327</v>
      </c>
      <c r="E1469" s="32"/>
      <c r="F1469" s="32"/>
      <c r="G1469" s="108">
        <v>11.834</v>
      </c>
      <c r="H1469" s="40"/>
      <c r="I1469" s="40"/>
      <c r="J1469" s="40"/>
      <c r="K1469" s="41"/>
      <c r="L1469" s="775"/>
    </row>
    <row r="1470" spans="1:22">
      <c r="A1470" s="39" t="s">
        <v>312</v>
      </c>
      <c r="B1470" s="32">
        <v>81678</v>
      </c>
      <c r="C1470" s="32"/>
      <c r="D1470" s="32" t="s">
        <v>330</v>
      </c>
      <c r="E1470" s="32"/>
      <c r="F1470" s="32"/>
      <c r="G1470" s="108">
        <v>10.645</v>
      </c>
      <c r="H1470" s="40"/>
      <c r="I1470" s="40"/>
      <c r="J1470" s="40"/>
      <c r="K1470" s="41"/>
      <c r="L1470" s="775"/>
    </row>
    <row r="1471" spans="1:22">
      <c r="A1471" s="39" t="s">
        <v>314</v>
      </c>
      <c r="B1471" s="32">
        <v>81679</v>
      </c>
      <c r="C1471" s="32"/>
      <c r="D1471" s="32" t="s">
        <v>332</v>
      </c>
      <c r="E1471" s="32"/>
      <c r="F1471" s="32"/>
      <c r="G1471" s="108">
        <v>9.7479999999999993</v>
      </c>
      <c r="H1471" s="40"/>
      <c r="I1471" s="40"/>
      <c r="J1471" s="40"/>
      <c r="K1471" s="41"/>
      <c r="L1471" s="775"/>
    </row>
    <row r="1472" spans="1:22">
      <c r="A1472" s="39" t="s">
        <v>353</v>
      </c>
      <c r="B1472" s="32">
        <v>81680</v>
      </c>
      <c r="C1472" s="32"/>
      <c r="D1472" s="32" t="s">
        <v>336</v>
      </c>
      <c r="E1472" s="32"/>
      <c r="F1472" s="32"/>
      <c r="G1472" s="108">
        <v>19.28</v>
      </c>
      <c r="H1472" s="40"/>
      <c r="I1472" s="40"/>
      <c r="J1472" s="40"/>
      <c r="K1472" s="41"/>
      <c r="L1472" s="775"/>
    </row>
    <row r="1473" spans="1:12">
      <c r="A1473" s="39" t="s">
        <v>354</v>
      </c>
      <c r="B1473" s="32">
        <v>81681</v>
      </c>
      <c r="C1473" s="32"/>
      <c r="D1473" s="32" t="s">
        <v>337</v>
      </c>
      <c r="E1473" s="32"/>
      <c r="F1473" s="32"/>
      <c r="G1473" s="108">
        <v>18.991</v>
      </c>
      <c r="H1473" s="40"/>
      <c r="I1473" s="40"/>
      <c r="J1473" s="40"/>
      <c r="K1473" s="41"/>
      <c r="L1473" s="775"/>
    </row>
    <row r="1474" spans="1:12">
      <c r="A1474" s="39" t="s">
        <v>355</v>
      </c>
      <c r="B1474" s="32">
        <v>81682</v>
      </c>
      <c r="C1474" s="32"/>
      <c r="D1474" s="32" t="s">
        <v>338</v>
      </c>
      <c r="E1474" s="32"/>
      <c r="F1474" s="32"/>
      <c r="G1474" s="108">
        <v>18.677</v>
      </c>
      <c r="H1474" s="40"/>
      <c r="I1474" s="40"/>
      <c r="J1474" s="40"/>
      <c r="K1474" s="41"/>
      <c r="L1474" s="775"/>
    </row>
    <row r="1475" spans="1:12">
      <c r="A1475" s="39" t="s">
        <v>356</v>
      </c>
      <c r="B1475" s="32">
        <v>81683</v>
      </c>
      <c r="C1475" s="32"/>
      <c r="D1475" s="32" t="s">
        <v>339</v>
      </c>
      <c r="E1475" s="32"/>
      <c r="F1475" s="32"/>
      <c r="G1475" s="108">
        <v>18.338000000000001</v>
      </c>
      <c r="H1475" s="40"/>
      <c r="I1475" s="40"/>
      <c r="J1475" s="40"/>
      <c r="K1475" s="41"/>
      <c r="L1475" s="775"/>
    </row>
    <row r="1476" spans="1:12">
      <c r="A1476" s="39" t="s">
        <v>362</v>
      </c>
      <c r="B1476" s="32">
        <v>81684</v>
      </c>
      <c r="C1476" s="32"/>
      <c r="D1476" s="32" t="s">
        <v>345</v>
      </c>
      <c r="E1476" s="32"/>
      <c r="F1476" s="32"/>
      <c r="G1476" s="108">
        <v>23.437999999999999</v>
      </c>
      <c r="H1476" s="40"/>
      <c r="I1476" s="40"/>
      <c r="J1476" s="40"/>
      <c r="K1476" s="41"/>
      <c r="L1476" s="775"/>
    </row>
    <row r="1477" spans="1:12">
      <c r="A1477" s="39" t="s">
        <v>365</v>
      </c>
      <c r="B1477" s="32">
        <v>81685</v>
      </c>
      <c r="C1477" s="32"/>
      <c r="D1477" s="32" t="s">
        <v>348</v>
      </c>
      <c r="E1477" s="32"/>
      <c r="F1477" s="32"/>
      <c r="G1477" s="108">
        <v>22.193999999999999</v>
      </c>
      <c r="H1477" s="40"/>
      <c r="I1477" s="40"/>
      <c r="J1477" s="40"/>
      <c r="K1477" s="41"/>
      <c r="L1477" s="775"/>
    </row>
    <row r="1478" spans="1:12">
      <c r="A1478" s="39" t="s">
        <v>367</v>
      </c>
      <c r="B1478" s="32">
        <v>81686</v>
      </c>
      <c r="C1478" s="32"/>
      <c r="D1478" s="32" t="s">
        <v>350</v>
      </c>
      <c r="E1478" s="32"/>
      <c r="F1478" s="32"/>
      <c r="G1478" s="108">
        <v>21.239000000000001</v>
      </c>
      <c r="H1478" s="40"/>
      <c r="I1478" s="40"/>
      <c r="J1478" s="40"/>
      <c r="K1478" s="41"/>
      <c r="L1478" s="775"/>
    </row>
    <row r="1479" spans="1:12">
      <c r="A1479" s="39" t="s">
        <v>361</v>
      </c>
      <c r="B1479" s="32">
        <v>2995</v>
      </c>
      <c r="C1479" s="32"/>
      <c r="D1479" s="32" t="s">
        <v>344</v>
      </c>
      <c r="E1479" s="32"/>
      <c r="F1479" s="32"/>
      <c r="G1479" s="108">
        <v>23.803000000000001</v>
      </c>
      <c r="H1479" s="40"/>
      <c r="I1479" s="40"/>
      <c r="J1479" s="40"/>
      <c r="K1479" s="41"/>
      <c r="L1479" s="775"/>
    </row>
    <row r="1480" spans="1:12">
      <c r="A1480" s="39" t="s">
        <v>363</v>
      </c>
      <c r="B1480" s="32">
        <v>3003</v>
      </c>
      <c r="C1480" s="32"/>
      <c r="D1480" s="32" t="s">
        <v>346</v>
      </c>
      <c r="E1480" s="32"/>
      <c r="F1480" s="32"/>
      <c r="G1480" s="108">
        <v>23.048999999999999</v>
      </c>
      <c r="H1480" s="40"/>
      <c r="I1480" s="40"/>
      <c r="J1480" s="40"/>
      <c r="K1480" s="41"/>
      <c r="L1480" s="775"/>
    </row>
    <row r="1481" spans="1:12">
      <c r="A1481" s="39" t="s">
        <v>369</v>
      </c>
      <c r="B1481" s="32">
        <v>3149</v>
      </c>
      <c r="C1481" s="32"/>
      <c r="D1481" s="32" t="s">
        <v>352</v>
      </c>
      <c r="E1481" s="32"/>
      <c r="F1481" s="32"/>
      <c r="G1481" s="108">
        <v>20.183</v>
      </c>
      <c r="H1481" s="40"/>
      <c r="I1481" s="40"/>
      <c r="J1481" s="40"/>
      <c r="K1481" s="41"/>
      <c r="L1481" s="775"/>
    </row>
    <row r="1482" spans="1:12">
      <c r="A1482" s="39" t="s">
        <v>308</v>
      </c>
      <c r="B1482" s="32">
        <v>3005</v>
      </c>
      <c r="C1482" s="32"/>
      <c r="D1482" s="32" t="s">
        <v>326</v>
      </c>
      <c r="E1482" s="32"/>
      <c r="F1482" s="32"/>
      <c r="G1482" s="108">
        <v>12.178000000000001</v>
      </c>
      <c r="H1482" s="40"/>
      <c r="I1482" s="40"/>
      <c r="J1482" s="40"/>
      <c r="K1482" s="41"/>
      <c r="L1482" s="775"/>
    </row>
    <row r="1483" spans="1:12">
      <c r="A1483" s="39" t="s">
        <v>310</v>
      </c>
      <c r="B1483" s="32">
        <v>3006</v>
      </c>
      <c r="C1483" s="32"/>
      <c r="D1483" s="32" t="s">
        <v>328</v>
      </c>
      <c r="E1483" s="32"/>
      <c r="F1483" s="32"/>
      <c r="G1483" s="108">
        <v>11.465999999999999</v>
      </c>
      <c r="H1483" s="40"/>
      <c r="I1483" s="40"/>
      <c r="J1483" s="40"/>
      <c r="K1483" s="41"/>
      <c r="L1483" s="775"/>
    </row>
    <row r="1484" spans="1:12">
      <c r="A1484" s="39" t="s">
        <v>375</v>
      </c>
      <c r="B1484" s="32">
        <v>36782</v>
      </c>
      <c r="C1484" s="32"/>
      <c r="D1484" s="32" t="s">
        <v>370</v>
      </c>
      <c r="E1484" s="32"/>
      <c r="F1484" s="32"/>
      <c r="G1484" s="108">
        <v>17.236000000000001</v>
      </c>
      <c r="H1484" s="40"/>
      <c r="I1484" s="40"/>
      <c r="J1484" s="40"/>
      <c r="K1484" s="41"/>
      <c r="L1484" s="775"/>
    </row>
    <row r="1485" spans="1:12">
      <c r="A1485" s="39" t="s">
        <v>316</v>
      </c>
      <c r="B1485" s="32">
        <v>3153</v>
      </c>
      <c r="C1485" s="32"/>
      <c r="D1485" s="32" t="s">
        <v>334</v>
      </c>
      <c r="E1485" s="32"/>
      <c r="F1485" s="32"/>
      <c r="G1485" s="108">
        <v>8.7520000000000007</v>
      </c>
      <c r="H1485" s="40"/>
      <c r="I1485" s="40"/>
      <c r="J1485" s="40"/>
      <c r="K1485" s="41"/>
      <c r="L1485" s="775"/>
    </row>
    <row r="1486" spans="1:12">
      <c r="A1486" s="39" t="s">
        <v>376</v>
      </c>
      <c r="B1486" s="32">
        <v>13185</v>
      </c>
      <c r="C1486" s="32"/>
      <c r="D1486" s="32" t="s">
        <v>371</v>
      </c>
      <c r="E1486" s="32"/>
      <c r="F1486" s="32"/>
      <c r="G1486" s="108">
        <v>31.382999999999999</v>
      </c>
      <c r="H1486" s="40"/>
      <c r="I1486" s="40"/>
      <c r="J1486" s="40"/>
      <c r="K1486" s="41"/>
      <c r="L1486" s="775"/>
    </row>
    <row r="1487" spans="1:12">
      <c r="A1487" s="39" t="s">
        <v>306</v>
      </c>
      <c r="B1487" s="32">
        <v>14487</v>
      </c>
      <c r="C1487" s="32"/>
      <c r="D1487" s="32" t="s">
        <v>324</v>
      </c>
      <c r="E1487" s="32"/>
      <c r="F1487" s="32"/>
      <c r="G1487" s="108">
        <v>12.795999999999999</v>
      </c>
      <c r="H1487" s="40"/>
      <c r="I1487" s="40"/>
      <c r="J1487" s="40"/>
      <c r="K1487" s="41"/>
      <c r="L1487" s="775"/>
    </row>
    <row r="1488" spans="1:12">
      <c r="A1488" s="39" t="s">
        <v>359</v>
      </c>
      <c r="B1488" s="32">
        <v>14488</v>
      </c>
      <c r="C1488" s="32"/>
      <c r="D1488" s="32" t="s">
        <v>342</v>
      </c>
      <c r="E1488" s="32"/>
      <c r="F1488" s="32"/>
      <c r="G1488" s="108">
        <v>25.265000000000001</v>
      </c>
      <c r="H1488" s="40"/>
      <c r="I1488" s="40"/>
      <c r="J1488" s="40"/>
      <c r="K1488" s="41"/>
      <c r="L1488" s="775"/>
    </row>
    <row r="1489" spans="1:12">
      <c r="A1489" s="39" t="s">
        <v>307</v>
      </c>
      <c r="B1489" s="32">
        <v>14493</v>
      </c>
      <c r="C1489" s="32"/>
      <c r="D1489" s="32" t="s">
        <v>325</v>
      </c>
      <c r="E1489" s="32"/>
      <c r="F1489" s="32"/>
      <c r="G1489" s="108">
        <v>12.513</v>
      </c>
      <c r="H1489" s="40"/>
      <c r="I1489" s="40"/>
      <c r="J1489" s="40"/>
      <c r="K1489" s="41"/>
      <c r="L1489" s="775"/>
    </row>
    <row r="1490" spans="1:12">
      <c r="A1490" s="39" t="s">
        <v>360</v>
      </c>
      <c r="B1490" s="32">
        <v>14494</v>
      </c>
      <c r="C1490" s="32"/>
      <c r="D1490" s="32" t="s">
        <v>343</v>
      </c>
      <c r="E1490" s="32"/>
      <c r="F1490" s="32"/>
      <c r="G1490" s="108">
        <v>24.143000000000001</v>
      </c>
      <c r="H1490" s="40"/>
      <c r="I1490" s="40"/>
      <c r="J1490" s="40"/>
      <c r="K1490" s="41"/>
      <c r="L1490" s="775"/>
    </row>
    <row r="1491" spans="1:12">
      <c r="A1491" s="39" t="s">
        <v>311</v>
      </c>
      <c r="B1491" s="32">
        <v>14495</v>
      </c>
      <c r="C1491" s="32"/>
      <c r="D1491" s="32" t="s">
        <v>329</v>
      </c>
      <c r="E1491" s="32"/>
      <c r="F1491" s="32"/>
      <c r="G1491" s="108">
        <v>11.074999999999999</v>
      </c>
      <c r="H1491" s="40"/>
      <c r="I1491" s="40"/>
      <c r="J1491" s="40"/>
      <c r="K1491" s="41"/>
      <c r="L1491" s="775"/>
    </row>
    <row r="1492" spans="1:12">
      <c r="A1492" s="39" t="s">
        <v>364</v>
      </c>
      <c r="B1492" s="32">
        <v>14496</v>
      </c>
      <c r="C1492" s="32"/>
      <c r="D1492" s="32" t="s">
        <v>347</v>
      </c>
      <c r="E1492" s="32"/>
      <c r="F1492" s="32"/>
      <c r="G1492" s="108">
        <v>22.634</v>
      </c>
      <c r="H1492" s="40"/>
      <c r="I1492" s="40"/>
      <c r="J1492" s="40"/>
      <c r="K1492" s="41"/>
      <c r="L1492" s="775"/>
    </row>
    <row r="1493" spans="1:12">
      <c r="A1493" s="39" t="s">
        <v>379</v>
      </c>
      <c r="B1493" s="32">
        <v>19028</v>
      </c>
      <c r="C1493" s="32"/>
      <c r="D1493" s="32" t="s">
        <v>374</v>
      </c>
      <c r="E1493" s="32"/>
      <c r="F1493" s="32"/>
      <c r="G1493" s="108">
        <v>13.885</v>
      </c>
      <c r="H1493" s="40"/>
      <c r="I1493" s="40"/>
      <c r="J1493" s="40"/>
      <c r="K1493" s="41"/>
      <c r="L1493" s="775"/>
    </row>
    <row r="1494" spans="1:12">
      <c r="A1494" s="39" t="s">
        <v>313</v>
      </c>
      <c r="B1494" s="32">
        <v>19426</v>
      </c>
      <c r="C1494" s="32"/>
      <c r="D1494" s="32" t="s">
        <v>331</v>
      </c>
      <c r="E1494" s="32"/>
      <c r="F1494" s="32"/>
      <c r="G1494" s="108">
        <v>10.221</v>
      </c>
      <c r="H1494" s="40"/>
      <c r="I1494" s="40"/>
      <c r="J1494" s="40"/>
      <c r="K1494" s="41"/>
      <c r="L1494" s="775"/>
    </row>
    <row r="1495" spans="1:12">
      <c r="A1495" s="39" t="s">
        <v>366</v>
      </c>
      <c r="B1495" s="32">
        <v>21463</v>
      </c>
      <c r="C1495" s="32"/>
      <c r="D1495" s="32" t="s">
        <v>349</v>
      </c>
      <c r="E1495" s="32"/>
      <c r="F1495" s="32"/>
      <c r="G1495" s="108">
        <v>21.728999999999999</v>
      </c>
      <c r="H1495" s="40"/>
      <c r="I1495" s="40"/>
      <c r="J1495" s="40"/>
      <c r="K1495" s="41"/>
      <c r="L1495" s="775"/>
    </row>
    <row r="1496" spans="1:12">
      <c r="A1496" s="39" t="s">
        <v>378</v>
      </c>
      <c r="B1496" s="32">
        <v>23359</v>
      </c>
      <c r="C1496" s="32"/>
      <c r="D1496" s="32" t="s">
        <v>373</v>
      </c>
      <c r="E1496" s="32"/>
      <c r="F1496" s="32"/>
      <c r="G1496" s="108">
        <v>20.082000000000001</v>
      </c>
      <c r="H1496" s="40"/>
      <c r="I1496" s="40"/>
      <c r="J1496" s="40"/>
      <c r="K1496" s="41"/>
      <c r="L1496" s="775"/>
    </row>
    <row r="1497" spans="1:12">
      <c r="A1497" s="39" t="s">
        <v>317</v>
      </c>
      <c r="B1497" s="32">
        <v>23766</v>
      </c>
      <c r="C1497" s="32"/>
      <c r="D1497" s="32" t="s">
        <v>335</v>
      </c>
      <c r="E1497" s="32"/>
      <c r="F1497" s="32"/>
      <c r="G1497" s="108">
        <v>6.47</v>
      </c>
      <c r="H1497" s="40"/>
      <c r="I1497" s="40"/>
      <c r="J1497" s="40"/>
      <c r="K1497" s="41"/>
      <c r="L1497" s="775"/>
    </row>
    <row r="1498" spans="1:12">
      <c r="A1498" s="39" t="s">
        <v>304</v>
      </c>
      <c r="B1498" s="32">
        <v>30277</v>
      </c>
      <c r="C1498" s="32"/>
      <c r="D1498" s="32" t="s">
        <v>322</v>
      </c>
      <c r="E1498" s="32"/>
      <c r="F1498" s="32"/>
      <c r="G1498" s="108">
        <v>13.305999999999999</v>
      </c>
      <c r="H1498" s="40"/>
      <c r="I1498" s="40"/>
      <c r="J1498" s="40"/>
      <c r="K1498" s="41"/>
      <c r="L1498" s="775"/>
    </row>
    <row r="1499" spans="1:12">
      <c r="A1499" s="39" t="s">
        <v>357</v>
      </c>
      <c r="B1499" s="32">
        <v>35616</v>
      </c>
      <c r="C1499" s="32"/>
      <c r="D1499" s="32" t="s">
        <v>340</v>
      </c>
      <c r="E1499" s="32"/>
      <c r="F1499" s="32"/>
      <c r="G1499" s="108">
        <v>25.009</v>
      </c>
      <c r="H1499" s="40"/>
      <c r="I1499" s="40"/>
      <c r="J1499" s="40"/>
      <c r="K1499" s="41"/>
      <c r="L1499" s="775"/>
    </row>
    <row r="1500" spans="1:12">
      <c r="A1500" s="39" t="s">
        <v>358</v>
      </c>
      <c r="B1500" s="32">
        <v>35617</v>
      </c>
      <c r="C1500" s="32"/>
      <c r="D1500" s="32" t="s">
        <v>341</v>
      </c>
      <c r="E1500" s="32"/>
      <c r="F1500" s="32"/>
      <c r="G1500" s="108">
        <v>24.745000000000001</v>
      </c>
      <c r="H1500" s="40"/>
      <c r="I1500" s="40"/>
      <c r="J1500" s="40"/>
      <c r="K1500" s="41"/>
      <c r="L1500" s="775"/>
    </row>
    <row r="1501" spans="1:12">
      <c r="A1501" s="39" t="s">
        <v>305</v>
      </c>
      <c r="B1501" s="32">
        <v>35618</v>
      </c>
      <c r="C1501" s="32"/>
      <c r="D1501" s="32" t="s">
        <v>323</v>
      </c>
      <c r="E1501" s="32"/>
      <c r="F1501" s="32"/>
      <c r="G1501" s="108">
        <v>13.058</v>
      </c>
      <c r="H1501" s="40"/>
      <c r="I1501" s="40"/>
      <c r="J1501" s="40"/>
      <c r="K1501" s="41"/>
      <c r="L1501" s="775"/>
    </row>
    <row r="1502" spans="1:12">
      <c r="A1502" s="39" t="s">
        <v>368</v>
      </c>
      <c r="B1502" s="32">
        <v>35619</v>
      </c>
      <c r="C1502" s="32"/>
      <c r="D1502" s="32" t="s">
        <v>351</v>
      </c>
      <c r="E1502" s="32"/>
      <c r="F1502" s="32"/>
      <c r="G1502" s="108">
        <v>20.724</v>
      </c>
      <c r="H1502" s="40"/>
      <c r="I1502" s="40"/>
      <c r="J1502" s="40"/>
      <c r="K1502" s="41"/>
      <c r="L1502" s="775"/>
    </row>
    <row r="1503" spans="1:12">
      <c r="A1503" s="39" t="s">
        <v>315</v>
      </c>
      <c r="B1503" s="32">
        <v>35620</v>
      </c>
      <c r="C1503" s="32"/>
      <c r="D1503" s="32" t="s">
        <v>333</v>
      </c>
      <c r="E1503" s="32"/>
      <c r="F1503" s="32"/>
      <c r="G1503" s="108">
        <v>9.2620000000000005</v>
      </c>
      <c r="H1503" s="40"/>
      <c r="I1503" s="40"/>
      <c r="J1503" s="40"/>
      <c r="K1503" s="41"/>
      <c r="L1503" s="775"/>
    </row>
    <row r="1504" spans="1:12" ht="13.8" thickBot="1">
      <c r="A1504" s="42" t="s">
        <v>377</v>
      </c>
      <c r="B1504" s="43">
        <v>36782</v>
      </c>
      <c r="C1504" s="43"/>
      <c r="D1504" s="43" t="s">
        <v>372</v>
      </c>
      <c r="E1504" s="43"/>
      <c r="F1504" s="43"/>
      <c r="G1504" s="109">
        <v>10.939</v>
      </c>
      <c r="H1504" s="44"/>
      <c r="I1504" s="44"/>
      <c r="J1504" s="44"/>
      <c r="K1504" s="45"/>
      <c r="L1504" s="776"/>
    </row>
    <row r="1505" spans="1:22" ht="25.2" thickBot="1">
      <c r="A1505" s="64" t="s">
        <v>789</v>
      </c>
      <c r="B1505" s="94"/>
      <c r="C1505" s="94"/>
      <c r="D1505" s="94"/>
      <c r="E1505" s="94"/>
      <c r="F1505" s="94"/>
      <c r="G1505" s="106"/>
      <c r="H1505" s="95"/>
      <c r="I1505" s="95"/>
      <c r="J1505" s="95"/>
      <c r="K1505" s="95"/>
      <c r="L1505" s="99"/>
      <c r="M1505" s="20"/>
      <c r="N1505" s="20"/>
      <c r="O1505" s="20"/>
      <c r="P1505" s="20"/>
      <c r="Q1505" s="24"/>
      <c r="R1505" s="22"/>
      <c r="S1505" s="22"/>
      <c r="T1505" s="20"/>
      <c r="U1505" s="20"/>
      <c r="V1505" s="20"/>
    </row>
    <row r="1506" spans="1:22">
      <c r="A1506" s="39" t="s">
        <v>816</v>
      </c>
      <c r="B1506" s="32" t="s">
        <v>855</v>
      </c>
      <c r="C1506" s="32"/>
      <c r="D1506" s="32"/>
      <c r="E1506" s="32"/>
      <c r="F1506" s="32"/>
      <c r="G1506" s="292">
        <v>18.829999999999998</v>
      </c>
      <c r="H1506" s="37"/>
      <c r="I1506" s="37"/>
      <c r="J1506" s="37"/>
      <c r="K1506" s="38"/>
      <c r="L1506" s="774" t="s">
        <v>380</v>
      </c>
    </row>
    <row r="1507" spans="1:22">
      <c r="A1507" s="39" t="s">
        <v>817</v>
      </c>
      <c r="B1507" s="32" t="s">
        <v>856</v>
      </c>
      <c r="C1507" s="32"/>
      <c r="D1507" s="32"/>
      <c r="E1507" s="32"/>
      <c r="F1507" s="32"/>
      <c r="G1507" s="292">
        <v>22.07</v>
      </c>
      <c r="H1507" s="40"/>
      <c r="I1507" s="40"/>
      <c r="J1507" s="40"/>
      <c r="K1507" s="41"/>
      <c r="L1507" s="775"/>
    </row>
    <row r="1508" spans="1:22">
      <c r="A1508" s="39" t="s">
        <v>818</v>
      </c>
      <c r="B1508" s="32" t="s">
        <v>857</v>
      </c>
      <c r="C1508" s="32"/>
      <c r="D1508" s="32"/>
      <c r="E1508" s="32"/>
      <c r="F1508" s="32"/>
      <c r="G1508" s="292">
        <v>17.649999999999999</v>
      </c>
      <c r="H1508" s="40"/>
      <c r="I1508" s="40"/>
      <c r="J1508" s="40"/>
      <c r="K1508" s="41"/>
      <c r="L1508" s="775"/>
    </row>
    <row r="1509" spans="1:22">
      <c r="A1509" s="39" t="s">
        <v>819</v>
      </c>
      <c r="B1509" s="32" t="s">
        <v>858</v>
      </c>
      <c r="C1509" s="32"/>
      <c r="D1509" s="32"/>
      <c r="E1509" s="32"/>
      <c r="F1509" s="32"/>
      <c r="G1509" s="292">
        <v>12.99</v>
      </c>
      <c r="H1509" s="40"/>
      <c r="I1509" s="40"/>
      <c r="J1509" s="40"/>
      <c r="K1509" s="41"/>
      <c r="L1509" s="775"/>
    </row>
    <row r="1510" spans="1:22">
      <c r="A1510" s="39" t="s">
        <v>820</v>
      </c>
      <c r="B1510" s="32" t="s">
        <v>859</v>
      </c>
      <c r="C1510" s="32"/>
      <c r="D1510" s="32"/>
      <c r="E1510" s="32"/>
      <c r="F1510" s="32"/>
      <c r="G1510" s="292">
        <v>25.99</v>
      </c>
      <c r="H1510" s="40"/>
      <c r="I1510" s="40"/>
      <c r="J1510" s="40"/>
      <c r="K1510" s="41"/>
      <c r="L1510" s="775"/>
    </row>
    <row r="1511" spans="1:22">
      <c r="A1511" s="39" t="s">
        <v>821</v>
      </c>
      <c r="B1511" s="32" t="s">
        <v>860</v>
      </c>
      <c r="C1511" s="32"/>
      <c r="D1511" s="32"/>
      <c r="E1511" s="32"/>
      <c r="F1511" s="32"/>
      <c r="G1511" s="292">
        <v>21.66</v>
      </c>
      <c r="H1511" s="40"/>
      <c r="I1511" s="40"/>
      <c r="J1511" s="40"/>
      <c r="K1511" s="41"/>
      <c r="L1511" s="775"/>
    </row>
    <row r="1512" spans="1:22">
      <c r="A1512" s="39" t="s">
        <v>822</v>
      </c>
      <c r="B1512" s="32" t="s">
        <v>861</v>
      </c>
      <c r="C1512" s="32"/>
      <c r="D1512" s="32"/>
      <c r="E1512" s="32"/>
      <c r="F1512" s="32"/>
      <c r="G1512" s="292">
        <v>17.32</v>
      </c>
      <c r="H1512" s="40"/>
      <c r="I1512" s="40"/>
      <c r="J1512" s="40"/>
      <c r="K1512" s="41"/>
      <c r="L1512" s="775"/>
    </row>
    <row r="1513" spans="1:22">
      <c r="A1513" s="39" t="s">
        <v>823</v>
      </c>
      <c r="B1513" s="32" t="s">
        <v>862</v>
      </c>
      <c r="C1513" s="32"/>
      <c r="D1513" s="32"/>
      <c r="E1513" s="32"/>
      <c r="F1513" s="32"/>
      <c r="G1513" s="292">
        <v>12.72</v>
      </c>
      <c r="H1513" s="40"/>
      <c r="I1513" s="40"/>
      <c r="J1513" s="40"/>
      <c r="K1513" s="41"/>
      <c r="L1513" s="775"/>
    </row>
    <row r="1514" spans="1:22">
      <c r="A1514" s="39" t="s">
        <v>824</v>
      </c>
      <c r="B1514" s="32" t="s">
        <v>863</v>
      </c>
      <c r="C1514" s="32"/>
      <c r="D1514" s="32"/>
      <c r="E1514" s="32"/>
      <c r="F1514" s="32"/>
      <c r="G1514" s="292">
        <v>12.27</v>
      </c>
      <c r="H1514" s="40"/>
      <c r="I1514" s="40"/>
      <c r="J1514" s="40"/>
      <c r="K1514" s="41"/>
      <c r="L1514" s="775"/>
    </row>
    <row r="1515" spans="1:22">
      <c r="A1515" s="39" t="s">
        <v>825</v>
      </c>
      <c r="B1515" s="32" t="s">
        <v>864</v>
      </c>
      <c r="C1515" s="32"/>
      <c r="D1515" s="32"/>
      <c r="E1515" s="32"/>
      <c r="F1515" s="32"/>
      <c r="G1515" s="292">
        <v>21.21</v>
      </c>
      <c r="H1515" s="40"/>
      <c r="I1515" s="40"/>
      <c r="J1515" s="40"/>
      <c r="K1515" s="41"/>
      <c r="L1515" s="775"/>
    </row>
    <row r="1516" spans="1:22">
      <c r="A1516" s="39" t="s">
        <v>826</v>
      </c>
      <c r="B1516" s="32" t="s">
        <v>865</v>
      </c>
      <c r="C1516" s="32"/>
      <c r="D1516" s="32"/>
      <c r="E1516" s="32"/>
      <c r="F1516" s="32"/>
      <c r="G1516" s="292">
        <v>16.96</v>
      </c>
      <c r="H1516" s="40"/>
      <c r="I1516" s="40"/>
      <c r="J1516" s="40"/>
      <c r="K1516" s="41"/>
      <c r="L1516" s="775"/>
    </row>
    <row r="1517" spans="1:22">
      <c r="A1517" s="39" t="s">
        <v>790</v>
      </c>
      <c r="B1517" s="32" t="s">
        <v>798</v>
      </c>
      <c r="C1517" s="32"/>
      <c r="D1517" s="32"/>
      <c r="E1517" s="32"/>
      <c r="F1517" s="32"/>
      <c r="G1517" s="292">
        <v>12.42</v>
      </c>
      <c r="H1517" s="40"/>
      <c r="I1517" s="40"/>
      <c r="J1517" s="40"/>
      <c r="K1517" s="41"/>
      <c r="L1517" s="775"/>
    </row>
    <row r="1518" spans="1:22">
      <c r="A1518" s="39" t="s">
        <v>827</v>
      </c>
      <c r="B1518" s="32" t="s">
        <v>866</v>
      </c>
      <c r="C1518" s="32"/>
      <c r="D1518" s="32"/>
      <c r="E1518" s="32"/>
      <c r="F1518" s="32"/>
      <c r="G1518" s="292">
        <v>24.86</v>
      </c>
      <c r="H1518" s="40"/>
      <c r="I1518" s="40"/>
      <c r="J1518" s="40"/>
      <c r="K1518" s="41"/>
      <c r="L1518" s="775"/>
    </row>
    <row r="1519" spans="1:22">
      <c r="A1519" s="39" t="s">
        <v>828</v>
      </c>
      <c r="B1519" s="32" t="s">
        <v>867</v>
      </c>
      <c r="C1519" s="32"/>
      <c r="D1519" s="32"/>
      <c r="E1519" s="32"/>
      <c r="F1519" s="32"/>
      <c r="G1519" s="292">
        <v>20.71</v>
      </c>
      <c r="H1519" s="40"/>
      <c r="I1519" s="40"/>
      <c r="J1519" s="40"/>
      <c r="K1519" s="41"/>
      <c r="L1519" s="775"/>
    </row>
    <row r="1520" spans="1:22">
      <c r="A1520" s="39" t="s">
        <v>829</v>
      </c>
      <c r="B1520" s="32" t="s">
        <v>868</v>
      </c>
      <c r="C1520" s="32"/>
      <c r="D1520" s="32"/>
      <c r="E1520" s="32"/>
      <c r="F1520" s="32"/>
      <c r="G1520" s="292">
        <v>16.57</v>
      </c>
      <c r="H1520" s="40"/>
      <c r="I1520" s="40"/>
      <c r="J1520" s="40"/>
      <c r="K1520" s="41"/>
      <c r="L1520" s="775"/>
    </row>
    <row r="1521" spans="1:12">
      <c r="A1521" s="39" t="s">
        <v>791</v>
      </c>
      <c r="B1521" s="32" t="s">
        <v>799</v>
      </c>
      <c r="C1521" s="32"/>
      <c r="D1521" s="32"/>
      <c r="E1521" s="32"/>
      <c r="F1521" s="32"/>
      <c r="G1521" s="292">
        <v>12.1</v>
      </c>
      <c r="H1521" s="40"/>
      <c r="I1521" s="40"/>
      <c r="J1521" s="40"/>
      <c r="K1521" s="41"/>
      <c r="L1521" s="775"/>
    </row>
    <row r="1522" spans="1:12">
      <c r="A1522" s="39" t="s">
        <v>830</v>
      </c>
      <c r="B1522" s="32" t="s">
        <v>869</v>
      </c>
      <c r="C1522" s="32"/>
      <c r="D1522" s="32"/>
      <c r="E1522" s="32"/>
      <c r="F1522" s="32"/>
      <c r="G1522" s="292">
        <v>24.23</v>
      </c>
      <c r="H1522" s="40"/>
      <c r="I1522" s="40"/>
      <c r="J1522" s="40"/>
      <c r="K1522" s="41"/>
      <c r="L1522" s="775"/>
    </row>
    <row r="1523" spans="1:12">
      <c r="A1523" s="39" t="s">
        <v>831</v>
      </c>
      <c r="B1523" s="32" t="s">
        <v>870</v>
      </c>
      <c r="C1523" s="32"/>
      <c r="D1523" s="32"/>
      <c r="E1523" s="32"/>
      <c r="F1523" s="32"/>
      <c r="G1523" s="292">
        <v>20.18</v>
      </c>
      <c r="H1523" s="40"/>
      <c r="I1523" s="40"/>
      <c r="J1523" s="40"/>
      <c r="K1523" s="41"/>
      <c r="L1523" s="775"/>
    </row>
    <row r="1524" spans="1:12">
      <c r="A1524" s="39" t="s">
        <v>832</v>
      </c>
      <c r="B1524" s="32" t="s">
        <v>871</v>
      </c>
      <c r="C1524" s="32"/>
      <c r="D1524" s="32"/>
      <c r="E1524" s="32"/>
      <c r="F1524" s="32"/>
      <c r="G1524" s="292">
        <v>16.14</v>
      </c>
      <c r="H1524" s="40"/>
      <c r="I1524" s="40"/>
      <c r="J1524" s="40"/>
      <c r="K1524" s="41"/>
      <c r="L1524" s="775"/>
    </row>
    <row r="1525" spans="1:12">
      <c r="A1525" s="39" t="s">
        <v>792</v>
      </c>
      <c r="B1525" s="32" t="s">
        <v>800</v>
      </c>
      <c r="C1525" s="32"/>
      <c r="D1525" s="32"/>
      <c r="E1525" s="32"/>
      <c r="F1525" s="32"/>
      <c r="G1525" s="292">
        <v>11.76</v>
      </c>
      <c r="H1525" s="40"/>
      <c r="I1525" s="40"/>
      <c r="J1525" s="40"/>
      <c r="K1525" s="41"/>
      <c r="L1525" s="775"/>
    </row>
    <row r="1526" spans="1:12">
      <c r="A1526" s="39" t="s">
        <v>833</v>
      </c>
      <c r="B1526" s="32" t="s">
        <v>872</v>
      </c>
      <c r="C1526" s="32"/>
      <c r="D1526" s="32"/>
      <c r="E1526" s="32"/>
      <c r="F1526" s="32"/>
      <c r="G1526" s="292">
        <v>23.54</v>
      </c>
      <c r="H1526" s="40"/>
      <c r="I1526" s="40"/>
      <c r="J1526" s="40"/>
      <c r="K1526" s="41"/>
      <c r="L1526" s="775"/>
    </row>
    <row r="1527" spans="1:12">
      <c r="A1527" s="39" t="s">
        <v>834</v>
      </c>
      <c r="B1527" s="32" t="s">
        <v>873</v>
      </c>
      <c r="C1527" s="32"/>
      <c r="D1527" s="32"/>
      <c r="E1527" s="32"/>
      <c r="F1527" s="32"/>
      <c r="G1527" s="292">
        <v>19.62</v>
      </c>
      <c r="H1527" s="40"/>
      <c r="I1527" s="40"/>
      <c r="J1527" s="40"/>
      <c r="K1527" s="41"/>
      <c r="L1527" s="775"/>
    </row>
    <row r="1528" spans="1:12">
      <c r="A1528" s="39" t="s">
        <v>835</v>
      </c>
      <c r="B1528" s="32" t="s">
        <v>874</v>
      </c>
      <c r="C1528" s="32"/>
      <c r="D1528" s="32"/>
      <c r="E1528" s="32"/>
      <c r="F1528" s="32"/>
      <c r="G1528" s="292">
        <v>15.69</v>
      </c>
      <c r="H1528" s="40"/>
      <c r="I1528" s="40"/>
      <c r="J1528" s="40"/>
      <c r="K1528" s="41"/>
      <c r="L1528" s="775"/>
    </row>
    <row r="1529" spans="1:12">
      <c r="A1529" s="39" t="s">
        <v>793</v>
      </c>
      <c r="B1529" s="32" t="s">
        <v>801</v>
      </c>
      <c r="C1529" s="32"/>
      <c r="D1529" s="32"/>
      <c r="E1529" s="32"/>
      <c r="F1529" s="32"/>
      <c r="G1529" s="292">
        <v>11.4</v>
      </c>
      <c r="H1529" s="40"/>
      <c r="I1529" s="40"/>
      <c r="J1529" s="40"/>
      <c r="K1529" s="41"/>
      <c r="L1529" s="775"/>
    </row>
    <row r="1530" spans="1:12">
      <c r="A1530" s="39" t="s">
        <v>836</v>
      </c>
      <c r="B1530" s="32" t="s">
        <v>875</v>
      </c>
      <c r="C1530" s="32"/>
      <c r="D1530" s="32"/>
      <c r="E1530" s="32"/>
      <c r="F1530" s="32"/>
      <c r="G1530" s="292">
        <v>22.81</v>
      </c>
      <c r="H1530" s="40"/>
      <c r="I1530" s="40"/>
      <c r="J1530" s="40"/>
      <c r="K1530" s="41"/>
      <c r="L1530" s="775"/>
    </row>
    <row r="1531" spans="1:12">
      <c r="A1531" s="39" t="s">
        <v>837</v>
      </c>
      <c r="B1531" s="32" t="s">
        <v>876</v>
      </c>
      <c r="C1531" s="32"/>
      <c r="D1531" s="32"/>
      <c r="E1531" s="32"/>
      <c r="F1531" s="32"/>
      <c r="G1531" s="292">
        <v>19.010000000000002</v>
      </c>
      <c r="H1531" s="40"/>
      <c r="I1531" s="40"/>
      <c r="J1531" s="40"/>
      <c r="K1531" s="41"/>
      <c r="L1531" s="775"/>
    </row>
    <row r="1532" spans="1:12">
      <c r="A1532" s="39" t="s">
        <v>838</v>
      </c>
      <c r="B1532" s="32" t="s">
        <v>877</v>
      </c>
      <c r="C1532" s="32"/>
      <c r="D1532" s="32"/>
      <c r="E1532" s="32"/>
      <c r="F1532" s="32"/>
      <c r="G1532" s="292">
        <v>15.2</v>
      </c>
      <c r="H1532" s="40"/>
      <c r="I1532" s="40"/>
      <c r="J1532" s="40"/>
      <c r="K1532" s="41"/>
      <c r="L1532" s="775"/>
    </row>
    <row r="1533" spans="1:12">
      <c r="A1533" s="39" t="s">
        <v>794</v>
      </c>
      <c r="B1533" s="32" t="s">
        <v>802</v>
      </c>
      <c r="C1533" s="32"/>
      <c r="D1533" s="32"/>
      <c r="E1533" s="32"/>
      <c r="F1533" s="32"/>
      <c r="G1533" s="292">
        <v>11.01</v>
      </c>
      <c r="H1533" s="40"/>
      <c r="I1533" s="40"/>
      <c r="J1533" s="40"/>
      <c r="K1533" s="41"/>
      <c r="L1533" s="775"/>
    </row>
    <row r="1534" spans="1:12">
      <c r="A1534" s="39" t="s">
        <v>839</v>
      </c>
      <c r="B1534" s="32" t="s">
        <v>878</v>
      </c>
      <c r="C1534" s="32"/>
      <c r="D1534" s="32"/>
      <c r="E1534" s="32"/>
      <c r="F1534" s="32"/>
      <c r="G1534" s="292">
        <v>18.36</v>
      </c>
      <c r="H1534" s="40"/>
      <c r="I1534" s="40"/>
      <c r="J1534" s="40"/>
      <c r="K1534" s="41"/>
      <c r="L1534" s="775"/>
    </row>
    <row r="1535" spans="1:12">
      <c r="A1535" s="39" t="s">
        <v>840</v>
      </c>
      <c r="B1535" s="32" t="s">
        <v>879</v>
      </c>
      <c r="C1535" s="32"/>
      <c r="D1535" s="32"/>
      <c r="E1535" s="32"/>
      <c r="F1535" s="32"/>
      <c r="G1535" s="292">
        <v>14.68</v>
      </c>
      <c r="H1535" s="40"/>
      <c r="I1535" s="40"/>
      <c r="J1535" s="40"/>
      <c r="K1535" s="41"/>
      <c r="L1535" s="775"/>
    </row>
    <row r="1536" spans="1:12">
      <c r="A1536" s="39" t="s">
        <v>795</v>
      </c>
      <c r="B1536" s="32" t="s">
        <v>803</v>
      </c>
      <c r="C1536" s="32"/>
      <c r="D1536" s="32"/>
      <c r="E1536" s="32"/>
      <c r="F1536" s="32"/>
      <c r="G1536" s="292">
        <v>10.59</v>
      </c>
      <c r="H1536" s="40"/>
      <c r="I1536" s="40"/>
      <c r="J1536" s="40"/>
      <c r="K1536" s="41"/>
      <c r="L1536" s="775"/>
    </row>
    <row r="1537" spans="1:12">
      <c r="A1537" s="39" t="s">
        <v>841</v>
      </c>
      <c r="B1537" s="32" t="s">
        <v>880</v>
      </c>
      <c r="C1537" s="32"/>
      <c r="D1537" s="32"/>
      <c r="E1537" s="32"/>
      <c r="F1537" s="32"/>
      <c r="G1537" s="292">
        <v>21.21</v>
      </c>
      <c r="H1537" s="40"/>
      <c r="I1537" s="40"/>
      <c r="J1537" s="40"/>
      <c r="K1537" s="41"/>
      <c r="L1537" s="775"/>
    </row>
    <row r="1538" spans="1:12">
      <c r="A1538" s="39" t="s">
        <v>842</v>
      </c>
      <c r="B1538" s="32" t="s">
        <v>881</v>
      </c>
      <c r="C1538" s="32"/>
      <c r="D1538" s="32"/>
      <c r="E1538" s="32"/>
      <c r="F1538" s="32"/>
      <c r="G1538" s="292">
        <v>17.670000000000002</v>
      </c>
      <c r="H1538" s="40"/>
      <c r="I1538" s="40"/>
      <c r="J1538" s="40"/>
      <c r="K1538" s="41"/>
      <c r="L1538" s="775"/>
    </row>
    <row r="1539" spans="1:12">
      <c r="A1539" s="39" t="s">
        <v>843</v>
      </c>
      <c r="B1539" s="32" t="s">
        <v>882</v>
      </c>
      <c r="C1539" s="32"/>
      <c r="D1539" s="32"/>
      <c r="E1539" s="32"/>
      <c r="F1539" s="32"/>
      <c r="G1539" s="292">
        <v>14.13</v>
      </c>
      <c r="H1539" s="40"/>
      <c r="I1539" s="40"/>
      <c r="J1539" s="40"/>
      <c r="K1539" s="41"/>
      <c r="L1539" s="775"/>
    </row>
    <row r="1540" spans="1:12">
      <c r="A1540" s="39" t="s">
        <v>844</v>
      </c>
      <c r="B1540" s="32" t="s">
        <v>883</v>
      </c>
      <c r="C1540" s="32"/>
      <c r="D1540" s="32"/>
      <c r="E1540" s="32"/>
      <c r="F1540" s="32"/>
      <c r="G1540" s="292">
        <v>10.16</v>
      </c>
      <c r="H1540" s="40"/>
      <c r="I1540" s="40"/>
      <c r="J1540" s="40"/>
      <c r="K1540" s="41"/>
      <c r="L1540" s="775"/>
    </row>
    <row r="1541" spans="1:12">
      <c r="A1541" s="39" t="s">
        <v>845</v>
      </c>
      <c r="B1541" s="32" t="s">
        <v>884</v>
      </c>
      <c r="C1541" s="32"/>
      <c r="D1541" s="32"/>
      <c r="E1541" s="32"/>
      <c r="F1541" s="32"/>
      <c r="G1541" s="292">
        <v>16.940000000000001</v>
      </c>
      <c r="H1541" s="40"/>
      <c r="I1541" s="40"/>
      <c r="J1541" s="40"/>
      <c r="K1541" s="41"/>
      <c r="L1541" s="775"/>
    </row>
    <row r="1542" spans="1:12">
      <c r="A1542" s="39" t="s">
        <v>846</v>
      </c>
      <c r="B1542" s="32" t="s">
        <v>885</v>
      </c>
      <c r="C1542" s="32"/>
      <c r="D1542" s="32"/>
      <c r="E1542" s="32"/>
      <c r="F1542" s="32"/>
      <c r="G1542" s="292">
        <v>24.3</v>
      </c>
      <c r="H1542" s="40"/>
      <c r="I1542" s="40"/>
      <c r="J1542" s="40"/>
      <c r="K1542" s="41"/>
      <c r="L1542" s="775"/>
    </row>
    <row r="1543" spans="1:12">
      <c r="A1543" s="39" t="s">
        <v>847</v>
      </c>
      <c r="B1543" s="32" t="s">
        <v>886</v>
      </c>
      <c r="C1543" s="32"/>
      <c r="D1543" s="32"/>
      <c r="E1543" s="32"/>
      <c r="F1543" s="32"/>
      <c r="G1543" s="292">
        <v>13.55</v>
      </c>
      <c r="H1543" s="40"/>
      <c r="I1543" s="40"/>
      <c r="J1543" s="40"/>
      <c r="K1543" s="41"/>
      <c r="L1543" s="775"/>
    </row>
    <row r="1544" spans="1:12">
      <c r="A1544" s="39" t="s">
        <v>796</v>
      </c>
      <c r="B1544" s="32" t="s">
        <v>804</v>
      </c>
      <c r="C1544" s="32"/>
      <c r="D1544" s="32"/>
      <c r="E1544" s="32"/>
      <c r="F1544" s="32"/>
      <c r="G1544" s="292">
        <v>9.6999999999999993</v>
      </c>
      <c r="H1544" s="40"/>
      <c r="I1544" s="40"/>
      <c r="J1544" s="40"/>
      <c r="K1544" s="41"/>
      <c r="L1544" s="775"/>
    </row>
    <row r="1545" spans="1:12">
      <c r="A1545" s="39" t="s">
        <v>848</v>
      </c>
      <c r="B1545" s="32" t="s">
        <v>887</v>
      </c>
      <c r="C1545" s="32"/>
      <c r="D1545" s="32"/>
      <c r="E1545" s="32"/>
      <c r="F1545" s="32"/>
      <c r="G1545" s="108">
        <v>19.420000000000002</v>
      </c>
      <c r="H1545" s="40"/>
      <c r="I1545" s="40"/>
      <c r="J1545" s="40"/>
      <c r="K1545" s="41"/>
      <c r="L1545" s="775"/>
    </row>
    <row r="1546" spans="1:12">
      <c r="A1546" s="39" t="s">
        <v>849</v>
      </c>
      <c r="B1546" s="32" t="s">
        <v>888</v>
      </c>
      <c r="C1546" s="32"/>
      <c r="D1546" s="32"/>
      <c r="E1546" s="32"/>
      <c r="F1546" s="32"/>
      <c r="G1546" s="108">
        <v>16.18</v>
      </c>
      <c r="H1546" s="40"/>
      <c r="I1546" s="40"/>
      <c r="J1546" s="40"/>
      <c r="K1546" s="41"/>
      <c r="L1546" s="775"/>
    </row>
    <row r="1547" spans="1:12">
      <c r="A1547" s="39" t="s">
        <v>850</v>
      </c>
      <c r="B1547" s="32" t="s">
        <v>889</v>
      </c>
      <c r="C1547" s="32"/>
      <c r="D1547" s="32"/>
      <c r="E1547" s="32"/>
      <c r="F1547" s="32"/>
      <c r="G1547" s="108">
        <v>12.94</v>
      </c>
      <c r="H1547" s="40"/>
      <c r="I1547" s="40"/>
      <c r="J1547" s="40"/>
      <c r="K1547" s="41"/>
      <c r="L1547" s="775"/>
    </row>
    <row r="1548" spans="1:12">
      <c r="A1548" s="39" t="s">
        <v>851</v>
      </c>
      <c r="B1548" s="32" t="s">
        <v>890</v>
      </c>
      <c r="C1548" s="32"/>
      <c r="D1548" s="32"/>
      <c r="E1548" s="32"/>
      <c r="F1548" s="32"/>
      <c r="G1548" s="108">
        <v>9.2200000000000006</v>
      </c>
      <c r="H1548" s="40"/>
      <c r="I1548" s="40"/>
      <c r="J1548" s="40"/>
      <c r="K1548" s="41"/>
      <c r="L1548" s="775"/>
    </row>
    <row r="1549" spans="1:12">
      <c r="A1549" s="39" t="s">
        <v>852</v>
      </c>
      <c r="B1549" s="32" t="s">
        <v>891</v>
      </c>
      <c r="C1549" s="32"/>
      <c r="D1549" s="32"/>
      <c r="E1549" s="32"/>
      <c r="F1549" s="32"/>
      <c r="G1549" s="108">
        <v>12.3</v>
      </c>
      <c r="H1549" s="40"/>
      <c r="I1549" s="40"/>
      <c r="J1549" s="40"/>
      <c r="K1549" s="41"/>
      <c r="L1549" s="775"/>
    </row>
    <row r="1550" spans="1:12">
      <c r="A1550" s="39" t="s">
        <v>797</v>
      </c>
      <c r="B1550" s="32" t="s">
        <v>805</v>
      </c>
      <c r="C1550" s="32"/>
      <c r="D1550" s="32"/>
      <c r="E1550" s="32"/>
      <c r="F1550" s="32"/>
      <c r="G1550" s="108">
        <v>8.7100000000000009</v>
      </c>
      <c r="H1550" s="40"/>
      <c r="I1550" s="40"/>
      <c r="J1550" s="40"/>
      <c r="K1550" s="41"/>
      <c r="L1550" s="775"/>
    </row>
    <row r="1551" spans="1:12">
      <c r="A1551" s="39" t="s">
        <v>853</v>
      </c>
      <c r="B1551" s="32" t="s">
        <v>892</v>
      </c>
      <c r="C1551" s="32"/>
      <c r="D1551" s="32"/>
      <c r="E1551" s="32"/>
      <c r="F1551" s="32"/>
      <c r="G1551" s="108">
        <v>14.53</v>
      </c>
      <c r="H1551" s="40"/>
      <c r="I1551" s="40"/>
      <c r="J1551" s="40"/>
      <c r="K1551" s="41"/>
      <c r="L1551" s="775"/>
    </row>
    <row r="1552" spans="1:12">
      <c r="A1552" s="39" t="s">
        <v>854</v>
      </c>
      <c r="B1552" s="32" t="s">
        <v>893</v>
      </c>
      <c r="C1552" s="32"/>
      <c r="D1552" s="32"/>
      <c r="E1552" s="32"/>
      <c r="F1552" s="32"/>
      <c r="G1552" s="108">
        <v>11.62</v>
      </c>
      <c r="H1552" s="40"/>
      <c r="I1552" s="40"/>
      <c r="J1552" s="40"/>
      <c r="K1552" s="41"/>
      <c r="L1552" s="775"/>
    </row>
    <row r="1553" spans="1:12">
      <c r="A1553" s="39" t="s">
        <v>894</v>
      </c>
      <c r="B1553" s="32" t="s">
        <v>913</v>
      </c>
      <c r="C1553" s="32"/>
      <c r="D1553" s="32"/>
      <c r="E1553" s="32"/>
      <c r="F1553" s="32"/>
      <c r="G1553" s="108">
        <v>17.646999999999998</v>
      </c>
      <c r="H1553" s="40"/>
      <c r="I1553" s="40"/>
      <c r="J1553" s="40"/>
      <c r="K1553" s="41"/>
      <c r="L1553" s="775"/>
    </row>
    <row r="1554" spans="1:12">
      <c r="A1554" s="39" t="s">
        <v>895</v>
      </c>
      <c r="B1554" s="32" t="s">
        <v>914</v>
      </c>
      <c r="C1554" s="32"/>
      <c r="D1554" s="32"/>
      <c r="E1554" s="32"/>
      <c r="F1554" s="32"/>
      <c r="G1554" s="108">
        <v>21.43</v>
      </c>
      <c r="H1554" s="40"/>
      <c r="I1554" s="40"/>
      <c r="J1554" s="40"/>
      <c r="K1554" s="41"/>
      <c r="L1554" s="775"/>
    </row>
    <row r="1555" spans="1:12">
      <c r="A1555" s="39" t="s">
        <v>896</v>
      </c>
      <c r="B1555" s="32" t="s">
        <v>915</v>
      </c>
      <c r="C1555" s="32"/>
      <c r="D1555" s="32"/>
      <c r="E1555" s="32"/>
      <c r="F1555" s="32"/>
      <c r="G1555" s="108">
        <v>20.96</v>
      </c>
      <c r="H1555" s="40"/>
      <c r="I1555" s="40"/>
      <c r="J1555" s="40"/>
      <c r="K1555" s="41"/>
      <c r="L1555" s="775"/>
    </row>
    <row r="1556" spans="1:12">
      <c r="A1556" s="39" t="s">
        <v>897</v>
      </c>
      <c r="B1556" s="32" t="s">
        <v>916</v>
      </c>
      <c r="C1556" s="32"/>
      <c r="D1556" s="32"/>
      <c r="E1556" s="32"/>
      <c r="F1556" s="32"/>
      <c r="G1556" s="108">
        <v>16.96</v>
      </c>
      <c r="H1556" s="40"/>
      <c r="I1556" s="40"/>
      <c r="J1556" s="40"/>
      <c r="K1556" s="41"/>
      <c r="L1556" s="775"/>
    </row>
    <row r="1557" spans="1:12">
      <c r="A1557" s="39" t="s">
        <v>898</v>
      </c>
      <c r="B1557" s="32" t="s">
        <v>917</v>
      </c>
      <c r="C1557" s="32"/>
      <c r="D1557" s="32"/>
      <c r="E1557" s="32"/>
      <c r="F1557" s="32"/>
      <c r="G1557" s="108">
        <v>20.45</v>
      </c>
      <c r="H1557" s="40"/>
      <c r="I1557" s="40"/>
      <c r="J1557" s="40"/>
      <c r="K1557" s="41"/>
      <c r="L1557" s="775"/>
    </row>
    <row r="1558" spans="1:12">
      <c r="A1558" s="39" t="s">
        <v>899</v>
      </c>
      <c r="B1558" s="32" t="s">
        <v>918</v>
      </c>
      <c r="C1558" s="32"/>
      <c r="D1558" s="32"/>
      <c r="E1558" s="32"/>
      <c r="F1558" s="32"/>
      <c r="G1558" s="108">
        <v>16.559999999999999</v>
      </c>
      <c r="H1558" s="40"/>
      <c r="I1558" s="40"/>
      <c r="J1558" s="40"/>
      <c r="K1558" s="41"/>
      <c r="L1558" s="775"/>
    </row>
    <row r="1559" spans="1:12">
      <c r="A1559" s="39" t="s">
        <v>900</v>
      </c>
      <c r="B1559" s="32" t="s">
        <v>919</v>
      </c>
      <c r="C1559" s="32"/>
      <c r="D1559" s="32"/>
      <c r="E1559" s="32"/>
      <c r="F1559" s="32"/>
      <c r="G1559" s="108">
        <v>23.19</v>
      </c>
      <c r="H1559" s="40"/>
      <c r="I1559" s="40"/>
      <c r="J1559" s="40"/>
      <c r="K1559" s="41"/>
      <c r="L1559" s="775"/>
    </row>
    <row r="1560" spans="1:12">
      <c r="A1560" s="39" t="s">
        <v>901</v>
      </c>
      <c r="B1560" s="32" t="s">
        <v>920</v>
      </c>
      <c r="C1560" s="32"/>
      <c r="D1560" s="32"/>
      <c r="E1560" s="32"/>
      <c r="F1560" s="32"/>
      <c r="G1560" s="108">
        <v>16.14</v>
      </c>
      <c r="H1560" s="40"/>
      <c r="I1560" s="40"/>
      <c r="J1560" s="40"/>
      <c r="K1560" s="41"/>
      <c r="L1560" s="775"/>
    </row>
    <row r="1561" spans="1:12">
      <c r="A1561" s="39" t="s">
        <v>902</v>
      </c>
      <c r="B1561" s="32" t="s">
        <v>921</v>
      </c>
      <c r="C1561" s="32"/>
      <c r="D1561" s="32"/>
      <c r="E1561" s="32"/>
      <c r="F1561" s="32"/>
      <c r="G1561" s="108">
        <v>22.43</v>
      </c>
      <c r="H1561" s="40"/>
      <c r="I1561" s="40"/>
      <c r="J1561" s="40"/>
      <c r="K1561" s="41"/>
      <c r="L1561" s="775"/>
    </row>
    <row r="1562" spans="1:12">
      <c r="A1562" s="39" t="s">
        <v>903</v>
      </c>
      <c r="B1562" s="32" t="s">
        <v>922</v>
      </c>
      <c r="C1562" s="32"/>
      <c r="D1562" s="32"/>
      <c r="E1562" s="32"/>
      <c r="F1562" s="32"/>
      <c r="G1562" s="108">
        <v>15.68</v>
      </c>
      <c r="H1562" s="40"/>
      <c r="I1562" s="40"/>
      <c r="J1562" s="40"/>
      <c r="K1562" s="41"/>
      <c r="L1562" s="775"/>
    </row>
    <row r="1563" spans="1:12">
      <c r="A1563" s="39" t="s">
        <v>806</v>
      </c>
      <c r="B1563" s="32" t="s">
        <v>811</v>
      </c>
      <c r="C1563" s="32"/>
      <c r="D1563" s="32"/>
      <c r="E1563" s="32"/>
      <c r="F1563" s="32"/>
      <c r="G1563" s="108">
        <v>18.690000000000001</v>
      </c>
      <c r="H1563" s="40"/>
      <c r="I1563" s="40"/>
      <c r="J1563" s="40"/>
      <c r="K1563" s="41"/>
      <c r="L1563" s="775"/>
    </row>
    <row r="1564" spans="1:12">
      <c r="A1564" s="39" t="s">
        <v>904</v>
      </c>
      <c r="B1564" s="32" t="s">
        <v>923</v>
      </c>
      <c r="C1564" s="32"/>
      <c r="D1564" s="32"/>
      <c r="E1564" s="32"/>
      <c r="F1564" s="32"/>
      <c r="G1564" s="108">
        <v>15.12</v>
      </c>
      <c r="H1564" s="40"/>
      <c r="I1564" s="40"/>
      <c r="J1564" s="40"/>
      <c r="K1564" s="41"/>
      <c r="L1564" s="775"/>
    </row>
    <row r="1565" spans="1:12">
      <c r="A1565" s="39" t="s">
        <v>905</v>
      </c>
      <c r="B1565" s="32" t="s">
        <v>924</v>
      </c>
      <c r="C1565" s="32"/>
      <c r="D1565" s="32"/>
      <c r="E1565" s="32"/>
      <c r="F1565" s="32"/>
      <c r="G1565" s="108">
        <v>18.02</v>
      </c>
      <c r="H1565" s="40"/>
      <c r="I1565" s="40"/>
      <c r="J1565" s="40"/>
      <c r="K1565" s="41"/>
      <c r="L1565" s="775"/>
    </row>
    <row r="1566" spans="1:12">
      <c r="A1566" s="39" t="s">
        <v>807</v>
      </c>
      <c r="B1566" s="32" t="s">
        <v>812</v>
      </c>
      <c r="C1566" s="32"/>
      <c r="D1566" s="32"/>
      <c r="E1566" s="32"/>
      <c r="F1566" s="32"/>
      <c r="G1566" s="108">
        <v>14.68</v>
      </c>
      <c r="H1566" s="40"/>
      <c r="I1566" s="40"/>
      <c r="J1566" s="40"/>
      <c r="K1566" s="41"/>
      <c r="L1566" s="775"/>
    </row>
    <row r="1567" spans="1:12">
      <c r="A1567" s="39" t="s">
        <v>906</v>
      </c>
      <c r="B1567" s="32" t="s">
        <v>925</v>
      </c>
      <c r="C1567" s="32"/>
      <c r="D1567" s="32"/>
      <c r="E1567" s="32"/>
      <c r="F1567" s="32"/>
      <c r="G1567" s="108">
        <v>17.309999999999999</v>
      </c>
      <c r="H1567" s="40"/>
      <c r="I1567" s="40"/>
      <c r="J1567" s="40"/>
      <c r="K1567" s="41"/>
      <c r="L1567" s="775"/>
    </row>
    <row r="1568" spans="1:12">
      <c r="A1568" s="39" t="s">
        <v>808</v>
      </c>
      <c r="B1568" s="32" t="s">
        <v>813</v>
      </c>
      <c r="C1568" s="32"/>
      <c r="D1568" s="32"/>
      <c r="E1568" s="32"/>
      <c r="F1568" s="32"/>
      <c r="G1568" s="108">
        <v>14.13</v>
      </c>
      <c r="H1568" s="40"/>
      <c r="I1568" s="40"/>
      <c r="J1568" s="40"/>
      <c r="K1568" s="41"/>
      <c r="L1568" s="775"/>
    </row>
    <row r="1569" spans="1:12">
      <c r="A1569" s="39" t="s">
        <v>907</v>
      </c>
      <c r="B1569" s="32" t="s">
        <v>926</v>
      </c>
      <c r="C1569" s="32"/>
      <c r="D1569" s="32"/>
      <c r="E1569" s="32"/>
      <c r="F1569" s="32"/>
      <c r="G1569" s="108">
        <v>18.829999999999998</v>
      </c>
      <c r="H1569" s="40"/>
      <c r="I1569" s="40"/>
      <c r="J1569" s="40"/>
      <c r="K1569" s="41"/>
      <c r="L1569" s="775"/>
    </row>
    <row r="1570" spans="1:12">
      <c r="A1570" s="39" t="s">
        <v>908</v>
      </c>
      <c r="B1570" s="32" t="s">
        <v>927</v>
      </c>
      <c r="C1570" s="32"/>
      <c r="D1570" s="32"/>
      <c r="E1570" s="32"/>
      <c r="F1570" s="32"/>
      <c r="G1570" s="108">
        <v>16.57</v>
      </c>
      <c r="H1570" s="40"/>
      <c r="I1570" s="40"/>
      <c r="J1570" s="40"/>
      <c r="K1570" s="41"/>
      <c r="L1570" s="775"/>
    </row>
    <row r="1571" spans="1:12">
      <c r="A1571" s="39" t="s">
        <v>809</v>
      </c>
      <c r="B1571" s="32" t="s">
        <v>814</v>
      </c>
      <c r="C1571" s="32"/>
      <c r="D1571" s="32"/>
      <c r="E1571" s="32"/>
      <c r="F1571" s="32"/>
      <c r="G1571" s="108">
        <v>13.55</v>
      </c>
      <c r="H1571" s="40"/>
      <c r="I1571" s="40"/>
      <c r="J1571" s="40"/>
      <c r="K1571" s="41"/>
      <c r="L1571" s="775"/>
    </row>
    <row r="1572" spans="1:12">
      <c r="A1572" s="39" t="s">
        <v>909</v>
      </c>
      <c r="B1572" s="32" t="s">
        <v>928</v>
      </c>
      <c r="C1572" s="32"/>
      <c r="D1572" s="32"/>
      <c r="E1572" s="32"/>
      <c r="F1572" s="32"/>
      <c r="G1572" s="108">
        <v>17.8</v>
      </c>
      <c r="H1572" s="40"/>
      <c r="I1572" s="40"/>
      <c r="J1572" s="40"/>
      <c r="K1572" s="41"/>
      <c r="L1572" s="775"/>
    </row>
    <row r="1573" spans="1:12">
      <c r="A1573" s="39" t="s">
        <v>910</v>
      </c>
      <c r="B1573" s="32" t="s">
        <v>929</v>
      </c>
      <c r="C1573" s="32"/>
      <c r="D1573" s="32"/>
      <c r="E1573" s="32"/>
      <c r="F1573" s="32"/>
      <c r="G1573" s="108">
        <v>15.78</v>
      </c>
      <c r="H1573" s="40"/>
      <c r="I1573" s="40"/>
      <c r="J1573" s="40"/>
      <c r="K1573" s="41"/>
      <c r="L1573" s="775"/>
    </row>
    <row r="1574" spans="1:12">
      <c r="A1574" s="39" t="s">
        <v>810</v>
      </c>
      <c r="B1574" s="32" t="s">
        <v>815</v>
      </c>
      <c r="C1574" s="32"/>
      <c r="D1574" s="32"/>
      <c r="E1574" s="32"/>
      <c r="F1574" s="32"/>
      <c r="G1574" s="108">
        <v>12.93</v>
      </c>
      <c r="H1574" s="40"/>
      <c r="I1574" s="40"/>
      <c r="J1574" s="40"/>
      <c r="K1574" s="41"/>
      <c r="L1574" s="775"/>
    </row>
    <row r="1575" spans="1:12">
      <c r="A1575" s="39" t="s">
        <v>911</v>
      </c>
      <c r="B1575" s="32" t="s">
        <v>930</v>
      </c>
      <c r="C1575" s="32"/>
      <c r="D1575" s="32"/>
      <c r="E1575" s="32"/>
      <c r="F1575" s="32"/>
      <c r="G1575" s="108">
        <v>16.72</v>
      </c>
      <c r="H1575" s="40"/>
      <c r="I1575" s="40"/>
      <c r="J1575" s="40"/>
      <c r="K1575" s="41"/>
      <c r="L1575" s="775"/>
    </row>
    <row r="1576" spans="1:12">
      <c r="A1576" s="39" t="s">
        <v>912</v>
      </c>
      <c r="B1576" s="32" t="s">
        <v>931</v>
      </c>
      <c r="C1576" s="32"/>
      <c r="D1576" s="32"/>
      <c r="E1576" s="32"/>
      <c r="F1576" s="32"/>
      <c r="G1576" s="108">
        <v>12.29</v>
      </c>
      <c r="H1576" s="40"/>
      <c r="I1576" s="40"/>
      <c r="J1576" s="40"/>
      <c r="K1576" s="41"/>
      <c r="L1576" s="775"/>
    </row>
    <row r="1577" spans="1:12">
      <c r="A1577" s="39" t="s">
        <v>932</v>
      </c>
      <c r="B1577" s="32" t="s">
        <v>939</v>
      </c>
      <c r="C1577" s="32"/>
      <c r="D1577" s="32"/>
      <c r="E1577" s="32"/>
      <c r="F1577" s="32"/>
      <c r="G1577" s="108">
        <v>24.54</v>
      </c>
      <c r="H1577" s="40"/>
      <c r="I1577" s="40"/>
      <c r="J1577" s="40"/>
      <c r="K1577" s="41"/>
      <c r="L1577" s="775"/>
    </row>
    <row r="1578" spans="1:12">
      <c r="A1578" s="39" t="s">
        <v>933</v>
      </c>
      <c r="B1578" s="32" t="s">
        <v>940</v>
      </c>
      <c r="C1578" s="32"/>
      <c r="D1578" s="32"/>
      <c r="E1578" s="32"/>
      <c r="F1578" s="32"/>
      <c r="G1578" s="108">
        <v>23.89</v>
      </c>
      <c r="H1578" s="40"/>
      <c r="I1578" s="40"/>
      <c r="J1578" s="40"/>
      <c r="K1578" s="41"/>
      <c r="L1578" s="775"/>
    </row>
    <row r="1579" spans="1:12">
      <c r="A1579" s="39" t="s">
        <v>934</v>
      </c>
      <c r="B1579" s="32" t="s">
        <v>941</v>
      </c>
      <c r="C1579" s="32"/>
      <c r="D1579" s="32"/>
      <c r="E1579" s="32"/>
      <c r="F1579" s="32"/>
      <c r="G1579" s="108">
        <v>19.899999999999999</v>
      </c>
      <c r="H1579" s="40"/>
      <c r="I1579" s="40"/>
      <c r="J1579" s="40"/>
      <c r="K1579" s="41"/>
      <c r="L1579" s="775"/>
    </row>
    <row r="1580" spans="1:12">
      <c r="A1580" s="39" t="s">
        <v>935</v>
      </c>
      <c r="B1580" s="32" t="s">
        <v>942</v>
      </c>
      <c r="C1580" s="32"/>
      <c r="D1580" s="32"/>
      <c r="E1580" s="32"/>
      <c r="F1580" s="32"/>
      <c r="G1580" s="108">
        <v>19.309999999999999</v>
      </c>
      <c r="H1580" s="40"/>
      <c r="I1580" s="40"/>
      <c r="J1580" s="40"/>
      <c r="K1580" s="41"/>
      <c r="L1580" s="775"/>
    </row>
    <row r="1581" spans="1:12">
      <c r="A1581" s="39" t="s">
        <v>936</v>
      </c>
      <c r="B1581" s="32" t="s">
        <v>943</v>
      </c>
      <c r="C1581" s="32"/>
      <c r="D1581" s="32"/>
      <c r="E1581" s="32"/>
      <c r="F1581" s="32"/>
      <c r="G1581" s="108">
        <v>21.62</v>
      </c>
      <c r="H1581" s="40"/>
      <c r="I1581" s="40"/>
      <c r="J1581" s="40"/>
      <c r="K1581" s="41"/>
      <c r="L1581" s="775"/>
    </row>
    <row r="1582" spans="1:12">
      <c r="A1582" s="39" t="s">
        <v>937</v>
      </c>
      <c r="B1582" s="32" t="s">
        <v>944</v>
      </c>
      <c r="C1582" s="32"/>
      <c r="D1582" s="32"/>
      <c r="E1582" s="32"/>
      <c r="F1582" s="32"/>
      <c r="G1582" s="108">
        <v>20.74</v>
      </c>
      <c r="H1582" s="40"/>
      <c r="I1582" s="40"/>
      <c r="J1582" s="40"/>
      <c r="K1582" s="41"/>
      <c r="L1582" s="775"/>
    </row>
    <row r="1583" spans="1:12">
      <c r="A1583" s="39" t="s">
        <v>938</v>
      </c>
      <c r="B1583" s="32" t="s">
        <v>945</v>
      </c>
      <c r="C1583" s="32"/>
      <c r="D1583" s="32"/>
      <c r="E1583" s="32"/>
      <c r="F1583" s="32"/>
      <c r="G1583" s="108">
        <v>19.809999999999999</v>
      </c>
      <c r="H1583" s="40"/>
      <c r="I1583" s="40"/>
      <c r="J1583" s="40"/>
      <c r="K1583" s="41"/>
      <c r="L1583" s="775"/>
    </row>
    <row r="1584" spans="1:12">
      <c r="A1584" s="39" t="s">
        <v>946</v>
      </c>
      <c r="B1584" s="32" t="s">
        <v>962</v>
      </c>
      <c r="C1584" s="32"/>
      <c r="D1584" s="32"/>
      <c r="E1584" s="32"/>
      <c r="F1584" s="32"/>
      <c r="G1584" s="108">
        <v>34.74</v>
      </c>
      <c r="H1584" s="40"/>
      <c r="I1584" s="40"/>
      <c r="J1584" s="40"/>
      <c r="K1584" s="41"/>
      <c r="L1584" s="775"/>
    </row>
    <row r="1585" spans="1:22">
      <c r="A1585" s="39" t="s">
        <v>947</v>
      </c>
      <c r="B1585" s="32" t="s">
        <v>963</v>
      </c>
      <c r="C1585" s="32"/>
      <c r="D1585" s="32"/>
      <c r="E1585" s="32"/>
      <c r="F1585" s="32"/>
      <c r="G1585" s="108">
        <v>46.33</v>
      </c>
      <c r="H1585" s="40"/>
      <c r="I1585" s="40"/>
      <c r="J1585" s="40"/>
      <c r="K1585" s="41"/>
      <c r="L1585" s="775"/>
    </row>
    <row r="1586" spans="1:22">
      <c r="A1586" s="39" t="s">
        <v>948</v>
      </c>
      <c r="B1586" s="32" t="s">
        <v>964</v>
      </c>
      <c r="C1586" s="32"/>
      <c r="D1586" s="32"/>
      <c r="E1586" s="32"/>
      <c r="F1586" s="32"/>
      <c r="G1586" s="108">
        <v>57.92</v>
      </c>
      <c r="H1586" s="40"/>
      <c r="I1586" s="40"/>
      <c r="J1586" s="40"/>
      <c r="K1586" s="41"/>
      <c r="L1586" s="775"/>
    </row>
    <row r="1587" spans="1:22">
      <c r="A1587" s="39" t="s">
        <v>949</v>
      </c>
      <c r="B1587" s="32" t="s">
        <v>965</v>
      </c>
      <c r="C1587" s="32"/>
      <c r="D1587" s="32"/>
      <c r="E1587" s="32"/>
      <c r="F1587" s="32"/>
      <c r="G1587" s="108">
        <v>60.24</v>
      </c>
      <c r="H1587" s="40"/>
      <c r="I1587" s="40"/>
      <c r="J1587" s="40"/>
      <c r="K1587" s="41"/>
      <c r="L1587" s="775"/>
    </row>
    <row r="1588" spans="1:22">
      <c r="A1588" s="39" t="s">
        <v>950</v>
      </c>
      <c r="B1588" s="32" t="s">
        <v>966</v>
      </c>
      <c r="C1588" s="32"/>
      <c r="D1588" s="32"/>
      <c r="E1588" s="32"/>
      <c r="F1588" s="32"/>
      <c r="G1588" s="108">
        <v>64.91</v>
      </c>
      <c r="H1588" s="40"/>
      <c r="I1588" s="40"/>
      <c r="J1588" s="40"/>
      <c r="K1588" s="41"/>
      <c r="L1588" s="775"/>
    </row>
    <row r="1589" spans="1:22">
      <c r="A1589" s="39" t="s">
        <v>951</v>
      </c>
      <c r="B1589" s="32" t="s">
        <v>967</v>
      </c>
      <c r="C1589" s="32"/>
      <c r="D1589" s="32"/>
      <c r="E1589" s="32"/>
      <c r="F1589" s="32"/>
      <c r="G1589" s="108">
        <v>69.510000000000005</v>
      </c>
      <c r="H1589" s="40"/>
      <c r="I1589" s="40"/>
      <c r="J1589" s="40"/>
      <c r="K1589" s="41"/>
      <c r="L1589" s="775"/>
    </row>
    <row r="1590" spans="1:22">
      <c r="A1590" s="39" t="s">
        <v>952</v>
      </c>
      <c r="B1590" s="32" t="s">
        <v>968</v>
      </c>
      <c r="C1590" s="32"/>
      <c r="D1590" s="32"/>
      <c r="E1590" s="32"/>
      <c r="F1590" s="32"/>
      <c r="G1590" s="108">
        <v>62.15</v>
      </c>
      <c r="H1590" s="40"/>
      <c r="I1590" s="40"/>
      <c r="J1590" s="40"/>
      <c r="K1590" s="41"/>
      <c r="L1590" s="775"/>
    </row>
    <row r="1591" spans="1:22">
      <c r="A1591" s="39" t="s">
        <v>953</v>
      </c>
      <c r="B1591" s="32" t="s">
        <v>969</v>
      </c>
      <c r="C1591" s="32"/>
      <c r="D1591" s="32"/>
      <c r="E1591" s="32"/>
      <c r="F1591" s="32"/>
      <c r="G1591" s="108">
        <v>30.914000000000001</v>
      </c>
      <c r="H1591" s="40"/>
      <c r="I1591" s="40"/>
      <c r="J1591" s="40"/>
      <c r="K1591" s="41"/>
      <c r="L1591" s="775"/>
    </row>
    <row r="1592" spans="1:22">
      <c r="A1592" s="39" t="s">
        <v>954</v>
      </c>
      <c r="B1592" s="32" t="s">
        <v>970</v>
      </c>
      <c r="C1592" s="32"/>
      <c r="D1592" s="32"/>
      <c r="E1592" s="32"/>
      <c r="F1592" s="32"/>
      <c r="G1592" s="108">
        <v>41.23</v>
      </c>
      <c r="H1592" s="40"/>
      <c r="I1592" s="40"/>
      <c r="J1592" s="40"/>
      <c r="K1592" s="41"/>
      <c r="L1592" s="775"/>
    </row>
    <row r="1593" spans="1:22">
      <c r="A1593" s="39" t="s">
        <v>955</v>
      </c>
      <c r="B1593" s="32" t="s">
        <v>971</v>
      </c>
      <c r="C1593" s="32"/>
      <c r="D1593" s="32"/>
      <c r="E1593" s="32"/>
      <c r="F1593" s="32"/>
      <c r="G1593" s="108">
        <v>51.54</v>
      </c>
      <c r="H1593" s="40"/>
      <c r="I1593" s="40"/>
      <c r="J1593" s="40"/>
      <c r="K1593" s="41"/>
      <c r="L1593" s="775"/>
    </row>
    <row r="1594" spans="1:22">
      <c r="A1594" s="39" t="s">
        <v>956</v>
      </c>
      <c r="B1594" s="32" t="s">
        <v>972</v>
      </c>
      <c r="C1594" s="32"/>
      <c r="D1594" s="32"/>
      <c r="E1594" s="32"/>
      <c r="F1594" s="32"/>
      <c r="G1594" s="108">
        <v>57.73</v>
      </c>
      <c r="H1594" s="40"/>
      <c r="I1594" s="40"/>
      <c r="J1594" s="40"/>
      <c r="K1594" s="41"/>
      <c r="L1594" s="775"/>
    </row>
    <row r="1595" spans="1:22">
      <c r="A1595" s="39" t="s">
        <v>957</v>
      </c>
      <c r="B1595" s="32" t="s">
        <v>973</v>
      </c>
      <c r="C1595" s="32"/>
      <c r="D1595" s="32"/>
      <c r="E1595" s="32"/>
      <c r="F1595" s="32"/>
      <c r="G1595" s="108">
        <v>17.654</v>
      </c>
      <c r="H1595" s="40"/>
      <c r="I1595" s="40"/>
      <c r="J1595" s="40"/>
      <c r="K1595" s="41"/>
      <c r="L1595" s="775"/>
    </row>
    <row r="1596" spans="1:22">
      <c r="A1596" s="39" t="s">
        <v>958</v>
      </c>
      <c r="B1596" s="32" t="s">
        <v>974</v>
      </c>
      <c r="C1596" s="32"/>
      <c r="D1596" s="32"/>
      <c r="E1596" s="32"/>
      <c r="F1596" s="32"/>
      <c r="G1596" s="108">
        <v>26.5</v>
      </c>
      <c r="H1596" s="40"/>
      <c r="I1596" s="40"/>
      <c r="J1596" s="40"/>
      <c r="K1596" s="41"/>
      <c r="L1596" s="775"/>
    </row>
    <row r="1597" spans="1:22">
      <c r="A1597" s="39" t="s">
        <v>959</v>
      </c>
      <c r="B1597" s="32" t="s">
        <v>975</v>
      </c>
      <c r="C1597" s="32"/>
      <c r="D1597" s="32"/>
      <c r="E1597" s="32"/>
      <c r="F1597" s="32"/>
      <c r="G1597" s="108">
        <v>35.340000000000003</v>
      </c>
      <c r="H1597" s="40"/>
      <c r="I1597" s="40"/>
      <c r="J1597" s="40"/>
      <c r="K1597" s="41"/>
      <c r="L1597" s="775"/>
    </row>
    <row r="1598" spans="1:22">
      <c r="A1598" s="39" t="s">
        <v>960</v>
      </c>
      <c r="B1598" s="32" t="s">
        <v>976</v>
      </c>
      <c r="C1598" s="32"/>
      <c r="D1598" s="32"/>
      <c r="E1598" s="32"/>
      <c r="F1598" s="32"/>
      <c r="G1598" s="108">
        <v>44.18</v>
      </c>
      <c r="H1598" s="40"/>
      <c r="I1598" s="40"/>
      <c r="J1598" s="40"/>
      <c r="K1598" s="41"/>
      <c r="L1598" s="775"/>
    </row>
    <row r="1599" spans="1:22" ht="13.8" thickBot="1">
      <c r="A1599" s="39" t="s">
        <v>961</v>
      </c>
      <c r="B1599" s="32" t="s">
        <v>977</v>
      </c>
      <c r="C1599" s="32"/>
      <c r="D1599" s="32"/>
      <c r="E1599" s="32"/>
      <c r="F1599" s="32"/>
      <c r="G1599" s="108">
        <v>49.48</v>
      </c>
      <c r="H1599" s="40"/>
      <c r="I1599" s="40"/>
      <c r="J1599" s="40"/>
      <c r="K1599" s="41"/>
      <c r="L1599" s="775"/>
    </row>
    <row r="1600" spans="1:22" ht="25.2" thickBot="1">
      <c r="A1600" s="64" t="s">
        <v>1097</v>
      </c>
      <c r="B1600" s="94"/>
      <c r="C1600" s="94"/>
      <c r="D1600" s="94"/>
      <c r="E1600" s="94"/>
      <c r="F1600" s="94"/>
      <c r="G1600" s="106"/>
      <c r="H1600" s="95"/>
      <c r="I1600" s="95"/>
      <c r="J1600" s="95"/>
      <c r="K1600" s="95"/>
      <c r="L1600" s="99"/>
      <c r="R1600" s="22"/>
      <c r="S1600" s="22"/>
      <c r="T1600" s="20"/>
      <c r="U1600" s="20"/>
      <c r="V1600" s="20"/>
    </row>
    <row r="1601" spans="1:22">
      <c r="A1601" s="76"/>
      <c r="G1601" s="21"/>
      <c r="H1601" s="20"/>
      <c r="I1601" s="20"/>
      <c r="J1601" s="20"/>
      <c r="L1601" s="739"/>
      <c r="M1601" s="20"/>
      <c r="N1601" s="20"/>
      <c r="O1601" s="20"/>
      <c r="P1601" s="20"/>
      <c r="Q1601" s="21"/>
      <c r="R1601" s="22"/>
      <c r="S1601" s="20"/>
      <c r="T1601" s="20"/>
      <c r="U1601" s="22"/>
      <c r="V1601" s="20"/>
    </row>
    <row r="1602" spans="1:22">
      <c r="A1602" s="294"/>
      <c r="G1602" s="21"/>
      <c r="H1602" s="20"/>
      <c r="I1602" s="20"/>
      <c r="J1602" s="20"/>
      <c r="L1602" s="739"/>
      <c r="M1602" s="20"/>
      <c r="N1602" s="20"/>
      <c r="O1602" s="20"/>
      <c r="P1602" s="20"/>
      <c r="Q1602" s="21"/>
      <c r="R1602" s="22"/>
      <c r="S1602" s="20"/>
      <c r="T1602" s="20"/>
      <c r="U1602" s="22"/>
      <c r="V1602" s="20"/>
    </row>
    <row r="1603" spans="1:22">
      <c r="A1603" s="293"/>
      <c r="G1603" s="21"/>
      <c r="H1603" s="20"/>
      <c r="I1603" s="20"/>
      <c r="J1603" s="20"/>
      <c r="L1603" s="739"/>
      <c r="M1603" s="20"/>
      <c r="N1603" s="20"/>
      <c r="O1603" s="20"/>
      <c r="P1603" s="20"/>
      <c r="Q1603" s="21"/>
      <c r="R1603" s="22"/>
      <c r="S1603" s="20"/>
      <c r="T1603" s="20"/>
      <c r="U1603" s="22"/>
      <c r="V1603" s="20"/>
    </row>
    <row r="1604" spans="1:22">
      <c r="A1604" s="294" t="s">
        <v>979</v>
      </c>
      <c r="G1604" s="17">
        <f>(75000*100)/1000000</f>
        <v>7.5</v>
      </c>
      <c r="L1604" s="739"/>
    </row>
    <row r="1605" spans="1:22">
      <c r="A1605" s="294" t="s">
        <v>980</v>
      </c>
      <c r="G1605" s="17">
        <f>(76875*100)/1000000</f>
        <v>7.6875</v>
      </c>
      <c r="L1605" s="739"/>
    </row>
    <row r="1606" spans="1:22">
      <c r="A1606" s="294" t="s">
        <v>981</v>
      </c>
      <c r="G1606" s="17">
        <f>(110700*100)/1000000</f>
        <v>11.07</v>
      </c>
      <c r="L1606" s="739"/>
    </row>
    <row r="1607" spans="1:22">
      <c r="A1607" s="294" t="s">
        <v>981</v>
      </c>
      <c r="G1607" s="17">
        <f>(108000*100)/1000000</f>
        <v>10.8</v>
      </c>
      <c r="L1607" s="739"/>
    </row>
    <row r="1608" spans="1:22" ht="13.8" thickBot="1">
      <c r="A1608" s="294" t="s">
        <v>982</v>
      </c>
      <c r="B1608" s="3"/>
      <c r="C1608" s="3"/>
      <c r="D1608" s="3"/>
      <c r="E1608" s="3"/>
      <c r="F1608" s="3"/>
      <c r="G1608" s="17">
        <f>(74250*100)/1000000</f>
        <v>7.4249999999999998</v>
      </c>
      <c r="L1608" s="739"/>
    </row>
    <row r="1609" spans="1:22" ht="25.2" thickBot="1">
      <c r="A1609" s="64" t="s">
        <v>1080</v>
      </c>
      <c r="B1609" s="94"/>
      <c r="C1609" s="94"/>
      <c r="D1609" s="94"/>
      <c r="E1609" s="94"/>
      <c r="F1609" s="94"/>
      <c r="G1609" s="106"/>
      <c r="H1609" s="95"/>
      <c r="I1609" s="95"/>
      <c r="J1609" s="95"/>
      <c r="K1609" s="95"/>
      <c r="L1609" s="99"/>
      <c r="R1609" s="22"/>
      <c r="S1609" s="22"/>
      <c r="T1609" s="20"/>
      <c r="U1609" s="20"/>
      <c r="V1609" s="20"/>
    </row>
    <row r="1610" spans="1:22">
      <c r="A1610" s="294" t="s">
        <v>1087</v>
      </c>
      <c r="B1610" s="2" t="s">
        <v>1834</v>
      </c>
      <c r="G1610" s="17">
        <f>5.3/185</f>
        <v>2.8648648648648647E-2</v>
      </c>
      <c r="L1610" s="739"/>
    </row>
    <row r="1611" spans="1:22">
      <c r="A1611" s="294" t="s">
        <v>1088</v>
      </c>
      <c r="B1611" s="2" t="s">
        <v>1834</v>
      </c>
      <c r="G1611" s="17">
        <f>4.5/140</f>
        <v>3.214285714285714E-2</v>
      </c>
      <c r="L1611" s="739"/>
    </row>
    <row r="1612" spans="1:22">
      <c r="A1612" s="294" t="s">
        <v>1089</v>
      </c>
      <c r="B1612" s="2" t="s">
        <v>1834</v>
      </c>
      <c r="G1612" s="17">
        <f>4/120</f>
        <v>3.3333333333333333E-2</v>
      </c>
      <c r="L1612" s="739"/>
    </row>
    <row r="1613" spans="1:22">
      <c r="A1613" s="294" t="s">
        <v>1090</v>
      </c>
      <c r="B1613" s="2" t="s">
        <v>1834</v>
      </c>
      <c r="G1613" s="17">
        <f>5.2/180</f>
        <v>2.8888888888888891E-2</v>
      </c>
      <c r="L1613" s="739"/>
    </row>
    <row r="1614" spans="1:22">
      <c r="A1614" s="294" t="s">
        <v>1835</v>
      </c>
      <c r="B1614" s="2" t="s">
        <v>1836</v>
      </c>
      <c r="G1614" s="17">
        <f>4.5/140</f>
        <v>3.214285714285714E-2</v>
      </c>
      <c r="L1614" s="739"/>
    </row>
    <row r="1615" spans="1:22">
      <c r="A1615" s="294"/>
      <c r="L1615" s="739"/>
    </row>
    <row r="1616" spans="1:22">
      <c r="A1616" s="294"/>
      <c r="L1616" s="739"/>
    </row>
    <row r="1617" spans="1:22">
      <c r="A1617" s="294"/>
      <c r="L1617" s="739"/>
    </row>
    <row r="1618" spans="1:22">
      <c r="A1618" s="294"/>
      <c r="L1618" s="739"/>
    </row>
    <row r="1619" spans="1:22">
      <c r="A1619" s="294"/>
      <c r="L1619" s="739"/>
    </row>
    <row r="1620" spans="1:22">
      <c r="A1620" s="294"/>
      <c r="L1620" s="739"/>
    </row>
    <row r="1621" spans="1:22">
      <c r="A1621" s="294"/>
      <c r="L1621" s="739"/>
    </row>
    <row r="1622" spans="1:22">
      <c r="A1622" s="294"/>
      <c r="L1622" s="739"/>
    </row>
    <row r="1623" spans="1:22">
      <c r="A1623" s="294"/>
      <c r="L1623" s="739"/>
    </row>
    <row r="1624" spans="1:22" ht="13.8" thickBot="1">
      <c r="L1624" s="739"/>
    </row>
    <row r="1625" spans="1:22" ht="25.2" thickBot="1">
      <c r="A1625" s="64" t="s">
        <v>1150</v>
      </c>
      <c r="B1625" s="94"/>
      <c r="C1625" s="94"/>
      <c r="D1625" s="94"/>
      <c r="E1625" s="94"/>
      <c r="F1625" s="94"/>
      <c r="G1625" s="106"/>
      <c r="H1625" s="95"/>
      <c r="I1625" s="95"/>
      <c r="J1625" s="95"/>
      <c r="K1625" s="95"/>
      <c r="L1625" s="99"/>
      <c r="R1625" s="22"/>
      <c r="S1625" s="22"/>
      <c r="T1625" s="20"/>
      <c r="U1625" s="20"/>
      <c r="V1625" s="20"/>
    </row>
    <row r="1626" spans="1:22" customFormat="1">
      <c r="A1626" s="353" t="s">
        <v>1151</v>
      </c>
      <c r="B1626" s="343"/>
      <c r="C1626" s="343" t="s">
        <v>1152</v>
      </c>
      <c r="D1626" s="343" t="s">
        <v>1153</v>
      </c>
      <c r="E1626" s="343" t="s">
        <v>1154</v>
      </c>
      <c r="F1626" s="343" t="s">
        <v>1159</v>
      </c>
      <c r="G1626" s="343" t="s">
        <v>1169</v>
      </c>
      <c r="H1626" s="3"/>
      <c r="K1626" t="s">
        <v>1155</v>
      </c>
      <c r="L1626" s="736"/>
      <c r="M1626" s="3"/>
      <c r="T1626" s="20"/>
      <c r="U1626" s="20"/>
    </row>
    <row r="1627" spans="1:22" customFormat="1" ht="14.4">
      <c r="A1627" s="387" t="str">
        <f t="shared" ref="A1627:A1665" si="151">F1627&amp;"."&amp;C1627&amp;"-"&amp;D1627&amp;"-"&amp;E1627&amp;"K"</f>
        <v>CH1.8-100-304K</v>
      </c>
      <c r="B1627" s="387"/>
      <c r="C1627" s="371">
        <v>8</v>
      </c>
      <c r="D1627" s="371">
        <v>100</v>
      </c>
      <c r="E1627" s="362">
        <v>304</v>
      </c>
      <c r="F1627" s="339" t="s">
        <v>1156</v>
      </c>
      <c r="G1627" s="345">
        <f t="shared" ref="G1627:G1665" si="152">K1627/10^6</f>
        <v>1.1640821292571471E-2</v>
      </c>
      <c r="H1627" s="3"/>
      <c r="I1627" s="341"/>
      <c r="J1627" s="341"/>
      <c r="K1627" s="342">
        <f>((PI()*C1627^2)/4)*(IF(C1627=6,55.133,IF(C1627=8,57.227,IF(C1627=10,59.322)))+((2/SQRT(3))*(D1627-(IF(C1627=6,22.5,IF(C1627=8,24.5,IF(C1627=10,26.5))))))*2*1)</f>
        <v>11640.821292571471</v>
      </c>
      <c r="L1627" s="737"/>
      <c r="M1627" s="3"/>
      <c r="T1627" s="20"/>
      <c r="U1627" s="20"/>
    </row>
    <row r="1628" spans="1:22" customFormat="1" ht="14.4">
      <c r="A1628" s="387" t="str">
        <f t="shared" si="151"/>
        <v>CH1.--K</v>
      </c>
      <c r="B1628" s="387"/>
      <c r="C1628" s="371"/>
      <c r="D1628" s="371"/>
      <c r="E1628" s="371"/>
      <c r="F1628" s="339" t="s">
        <v>1156</v>
      </c>
      <c r="G1628" s="345">
        <f t="shared" si="152"/>
        <v>0</v>
      </c>
      <c r="H1628" s="3"/>
      <c r="I1628" s="341"/>
      <c r="J1628" s="341"/>
      <c r="K1628" s="342">
        <f>((PI()*C1628^2)/4)*(IF(C1628=6,55.133,IF(C1628=8,57.227,IF(C1628=10,59.322)))+((2/SQRT(3))*(D1628-(IF(C1628=6,22.5,IF(C1628=8,24.5,IF(C1628=10,26.5))))))*2*1)</f>
        <v>0</v>
      </c>
      <c r="L1628" s="737"/>
      <c r="M1628" s="3"/>
      <c r="T1628" s="20"/>
      <c r="U1628" s="20"/>
    </row>
    <row r="1629" spans="1:22" customFormat="1" ht="14.4">
      <c r="A1629" s="387" t="str">
        <f t="shared" si="151"/>
        <v>CH1.--K</v>
      </c>
      <c r="B1629" s="387"/>
      <c r="C1629" s="371"/>
      <c r="D1629" s="371"/>
      <c r="E1629" s="371"/>
      <c r="F1629" s="339" t="s">
        <v>1156</v>
      </c>
      <c r="G1629" s="345">
        <f t="shared" si="152"/>
        <v>0</v>
      </c>
      <c r="H1629" s="3"/>
      <c r="I1629" s="341"/>
      <c r="J1629" s="341"/>
      <c r="K1629" s="342">
        <f>((PI()*C1629^2)/4)*(IF(C1629=6,55.133,IF(C1629=8,57.227,IF(C1629=10,59.322)))+((2/SQRT(3))*(D1629-(IF(C1629=6,22.5,IF(C1629=8,24.5,IF(C1629=10,26.5))))))*2*1)</f>
        <v>0</v>
      </c>
      <c r="L1629" s="737"/>
      <c r="M1629" s="3"/>
      <c r="T1629" s="20"/>
      <c r="U1629" s="20"/>
    </row>
    <row r="1630" spans="1:22" customFormat="1" ht="14.4">
      <c r="A1630" s="385" t="str">
        <f t="shared" si="151"/>
        <v>CH2.8-100-Material?K</v>
      </c>
      <c r="B1630" s="385"/>
      <c r="C1630" s="371">
        <v>8</v>
      </c>
      <c r="D1630" s="371">
        <v>100</v>
      </c>
      <c r="E1630" s="362" t="s">
        <v>1184</v>
      </c>
      <c r="F1630" s="339" t="s">
        <v>1157</v>
      </c>
      <c r="G1630" s="345">
        <f t="shared" si="152"/>
        <v>1.2079035218970456E-2</v>
      </c>
      <c r="H1630" s="3"/>
      <c r="I1630" s="341"/>
      <c r="J1630" s="341"/>
      <c r="K1630" s="342">
        <f>((PI()*C1630^2)/4)*(IF(C1630=6,55.133,IF(C1630=8,57.227,IF(C1630=10,59.322)))+((2/SQRT(3))*(D1630-(IF(C1630=6,22.5,IF(C1630=8,24.5,IF(C1630=10,26.5))))))*2*1.05)</f>
        <v>12079.035218970457</v>
      </c>
      <c r="L1630" s="737"/>
      <c r="M1630" s="3"/>
      <c r="T1630" s="20"/>
      <c r="U1630" s="20"/>
    </row>
    <row r="1631" spans="1:22" customFormat="1" ht="14.4">
      <c r="A1631" s="385" t="str">
        <f t="shared" si="151"/>
        <v>CH2.--K</v>
      </c>
      <c r="B1631" s="385"/>
      <c r="C1631" s="371"/>
      <c r="D1631" s="371"/>
      <c r="E1631" s="384"/>
      <c r="F1631" s="339" t="s">
        <v>1157</v>
      </c>
      <c r="G1631" s="345">
        <f t="shared" si="152"/>
        <v>0</v>
      </c>
      <c r="H1631" s="3"/>
      <c r="I1631" s="341"/>
      <c r="J1631" s="341"/>
      <c r="K1631" s="342">
        <f>((PI()*C1631^2)/4)*(IF(C1631=6,55.133,IF(C1631=8,57.227,IF(C1631=10,59.322)))+((2/SQRT(3))*(D1631-(IF(C1631=6,22.5,IF(C1631=8,24.5,IF(C1631=10,26.5))))))*2*1.05)</f>
        <v>0</v>
      </c>
      <c r="L1631" s="737"/>
      <c r="M1631" s="3"/>
      <c r="T1631" s="20"/>
      <c r="U1631" s="20"/>
    </row>
    <row r="1632" spans="1:22" customFormat="1" ht="14.4">
      <c r="A1632" s="385" t="str">
        <f t="shared" si="151"/>
        <v>CH2.--K</v>
      </c>
      <c r="B1632" s="385"/>
      <c r="C1632" s="371"/>
      <c r="D1632" s="371"/>
      <c r="E1632" s="384"/>
      <c r="F1632" s="339" t="s">
        <v>1157</v>
      </c>
      <c r="G1632" s="345">
        <f t="shared" si="152"/>
        <v>0</v>
      </c>
      <c r="H1632" s="3"/>
      <c r="I1632" s="341"/>
      <c r="J1632" s="341"/>
      <c r="K1632" s="342">
        <f>((PI()*C1632^2)/4)*(IF(C1632=6,55.133,IF(C1632=8,57.227,IF(C1632=10,59.322)))+((2/SQRT(3))*(D1632-(IF(C1632=6,22.5,IF(C1632=8,24.5,IF(C1632=10,26.5))))))*2*1.05)</f>
        <v>0</v>
      </c>
      <c r="L1632" s="737"/>
      <c r="M1632" s="3"/>
      <c r="T1632" s="20"/>
      <c r="U1632" s="20"/>
    </row>
    <row r="1633" spans="1:21" customFormat="1" ht="14.4">
      <c r="A1633" s="388" t="str">
        <f t="shared" si="151"/>
        <v>CH3.8-100-Material?K</v>
      </c>
      <c r="B1633" s="388"/>
      <c r="C1633" s="371">
        <v>8</v>
      </c>
      <c r="D1633" s="371">
        <v>100</v>
      </c>
      <c r="E1633" s="362" t="s">
        <v>1184</v>
      </c>
      <c r="F1633" s="339" t="s">
        <v>1158</v>
      </c>
      <c r="G1633" s="345">
        <f t="shared" si="152"/>
        <v>1.1745992634907228E-2</v>
      </c>
      <c r="H1633" s="3"/>
      <c r="I1633" s="341"/>
      <c r="J1633" s="341"/>
      <c r="K1633" s="342">
        <f>((PI()*C1633^2)/4)*(IF(C1633=6,55.133,IF(C1633=8,57.227,IF(C1633=10,59.322)))+((2/SQRT(3))*(D1633-(IF(C1633=6,22.5,IF(C1633=8,24.5,IF(C1633=10,26.5))))))*2*1.012)</f>
        <v>11745.992634907228</v>
      </c>
      <c r="L1633" s="737"/>
      <c r="M1633" s="3"/>
      <c r="T1633" s="20"/>
      <c r="U1633" s="20"/>
    </row>
    <row r="1634" spans="1:21" customFormat="1" ht="14.4">
      <c r="A1634" s="388" t="str">
        <f t="shared" si="151"/>
        <v>CH3.--K</v>
      </c>
      <c r="B1634" s="388"/>
      <c r="C1634" s="371"/>
      <c r="D1634" s="371"/>
      <c r="E1634" s="384"/>
      <c r="F1634" s="339" t="s">
        <v>1158</v>
      </c>
      <c r="G1634" s="345">
        <f t="shared" si="152"/>
        <v>0</v>
      </c>
      <c r="H1634" s="3"/>
      <c r="I1634" s="341"/>
      <c r="J1634" s="341"/>
      <c r="K1634" s="342">
        <f>((PI()*C1634^2)/4)*(IF(C1634=6,55.133,IF(C1634=8,57.227,IF(C1634=10,59.322)))+((2/SQRT(3))*(D1634-(IF(C1634=6,22.5,IF(C1634=8,24.5,IF(C1634=10,26.5))))))*2*1.012)</f>
        <v>0</v>
      </c>
      <c r="L1634" s="737"/>
      <c r="M1634" s="3"/>
      <c r="T1634" s="20"/>
      <c r="U1634" s="20"/>
    </row>
    <row r="1635" spans="1:21" customFormat="1" ht="14.4">
      <c r="A1635" s="388" t="str">
        <f t="shared" si="151"/>
        <v>CH3.--K</v>
      </c>
      <c r="B1635" s="388"/>
      <c r="C1635" s="371"/>
      <c r="D1635" s="371"/>
      <c r="E1635" s="384"/>
      <c r="F1635" s="339" t="s">
        <v>1158</v>
      </c>
      <c r="G1635" s="345">
        <f t="shared" si="152"/>
        <v>0</v>
      </c>
      <c r="H1635" s="3"/>
      <c r="I1635" s="341"/>
      <c r="J1635" s="341"/>
      <c r="K1635" s="342">
        <f>((PI()*C1635^2)/4)*(IF(C1635=6,55.133,IF(C1635=8,57.227,IF(C1635=10,59.322)))+((2/SQRT(3))*(D1635-(IF(C1635=6,22.5,IF(C1635=8,24.5,IF(C1635=10,26.5))))))*2*1.012)</f>
        <v>0</v>
      </c>
      <c r="L1635" s="737"/>
      <c r="M1635" s="3"/>
      <c r="T1635" s="20"/>
      <c r="U1635" s="20"/>
    </row>
    <row r="1636" spans="1:21" customFormat="1" ht="14.4">
      <c r="A1636" s="387" t="str">
        <f t="shared" si="151"/>
        <v>CV1.10-150-Material?K</v>
      </c>
      <c r="B1636" s="387"/>
      <c r="C1636" s="372">
        <v>10</v>
      </c>
      <c r="D1636" s="372">
        <v>150</v>
      </c>
      <c r="E1636" s="362" t="s">
        <v>1184</v>
      </c>
      <c r="F1636" s="67" t="s">
        <v>1160</v>
      </c>
      <c r="G1636" s="347">
        <f t="shared" si="152"/>
        <v>2.5844251553984163E-2</v>
      </c>
      <c r="H1636" s="3"/>
      <c r="I1636" s="341"/>
      <c r="J1636" s="341"/>
      <c r="K1636" s="342">
        <f>((PI()*C1636^2)/4)*(IF(C1636=6,44.279,IF(C1636=8,46.427,IF(C1636=10,48.467)))+((2/SQRT(3))*(D1636-(IF(C1636=6,24.5,IF(C1636=8,26.5,IF(C1636=10,28.5))))))*2*1)</f>
        <v>25844.251553984162</v>
      </c>
      <c r="L1636" s="737"/>
      <c r="T1636" s="20"/>
      <c r="U1636" s="20"/>
    </row>
    <row r="1637" spans="1:21" customFormat="1" ht="14.4">
      <c r="A1637" s="387" t="str">
        <f t="shared" si="151"/>
        <v>CV1.--K</v>
      </c>
      <c r="B1637" s="387"/>
      <c r="C1637" s="372"/>
      <c r="D1637" s="372"/>
      <c r="E1637" s="372"/>
      <c r="F1637" s="67" t="s">
        <v>1160</v>
      </c>
      <c r="G1637" s="347">
        <f t="shared" si="152"/>
        <v>0</v>
      </c>
      <c r="H1637" s="3"/>
      <c r="I1637" s="341"/>
      <c r="J1637" s="341"/>
      <c r="K1637" s="342">
        <f>((PI()*C1637^2)/4)*(IF(C1637=6,44.279,IF(C1637=8,46.427,IF(C1637=10,48.467)))+((2/SQRT(3))*(D1637-(IF(C1637=6,24.5,IF(C1637=8,26.5,IF(C1637=10,28.5))))))*2*1)</f>
        <v>0</v>
      </c>
      <c r="L1637" s="737"/>
      <c r="T1637" s="20"/>
      <c r="U1637" s="20"/>
    </row>
    <row r="1638" spans="1:21" customFormat="1" ht="14.4">
      <c r="A1638" s="387" t="str">
        <f t="shared" si="151"/>
        <v>CV1.--K</v>
      </c>
      <c r="B1638" s="387"/>
      <c r="C1638" s="372"/>
      <c r="D1638" s="372"/>
      <c r="E1638" s="372"/>
      <c r="F1638" s="67" t="s">
        <v>1160</v>
      </c>
      <c r="G1638" s="347">
        <f t="shared" si="152"/>
        <v>0</v>
      </c>
      <c r="H1638" s="3"/>
      <c r="I1638" s="341"/>
      <c r="J1638" s="341"/>
      <c r="K1638" s="342">
        <f>((PI()*C1638^2)/4)*(IF(C1638=6,44.279,IF(C1638=8,46.427,IF(C1638=10,48.467)))+((2/SQRT(3))*(D1638-(IF(C1638=6,24.5,IF(C1638=8,26.5,IF(C1638=10,28.5))))))*2*1)</f>
        <v>0</v>
      </c>
      <c r="L1638" s="737"/>
      <c r="T1638" s="20"/>
      <c r="U1638" s="20"/>
    </row>
    <row r="1639" spans="1:21" customFormat="1" ht="14.4">
      <c r="A1639" s="385" t="str">
        <f t="shared" si="151"/>
        <v>CV2.10-150-Material?K</v>
      </c>
      <c r="B1639" s="385"/>
      <c r="C1639" s="372">
        <v>10</v>
      </c>
      <c r="D1639" s="372">
        <v>150</v>
      </c>
      <c r="E1639" s="362" t="s">
        <v>1184</v>
      </c>
      <c r="F1639" s="67" t="s">
        <v>1161</v>
      </c>
      <c r="G1639" s="347">
        <f t="shared" si="152"/>
        <v>2.6946134667756454E-2</v>
      </c>
      <c r="H1639" s="3"/>
      <c r="I1639" s="341"/>
      <c r="J1639" s="341"/>
      <c r="K1639" s="342">
        <f>((PI()*C1639^2)/4)*(IF(C1639=6,44.279,IF(C1639=8,46.427,IF(C1639=10,48.467)))+((2/SQRT(3))*(D1639-(IF(C1639=6,24.5,IF(C1639=8,26.5,IF(C1639=10,28.5))))))*2*1.05)</f>
        <v>26946.134667756454</v>
      </c>
      <c r="L1639" s="737"/>
      <c r="T1639" s="20"/>
      <c r="U1639" s="20"/>
    </row>
    <row r="1640" spans="1:21" customFormat="1" ht="14.4">
      <c r="A1640" s="385" t="str">
        <f t="shared" si="151"/>
        <v>CV2.--K</v>
      </c>
      <c r="B1640" s="385"/>
      <c r="C1640" s="372"/>
      <c r="D1640" s="372"/>
      <c r="E1640" s="372"/>
      <c r="F1640" s="67" t="s">
        <v>1161</v>
      </c>
      <c r="G1640" s="347">
        <f t="shared" si="152"/>
        <v>0</v>
      </c>
      <c r="H1640" s="3"/>
      <c r="I1640" s="341"/>
      <c r="J1640" s="341"/>
      <c r="K1640" s="342">
        <f>((PI()*C1640^2)/4)*(IF(C1640=6,44.279,IF(C1640=8,46.427,IF(C1640=10,48.467)))+((2/SQRT(3))*(D1640-(IF(C1640=6,24.5,IF(C1640=8,26.5,IF(C1640=10,28.5))))))*2*1.05)</f>
        <v>0</v>
      </c>
      <c r="L1640" s="737"/>
      <c r="T1640" s="20"/>
      <c r="U1640" s="20"/>
    </row>
    <row r="1641" spans="1:21" customFormat="1" ht="14.4">
      <c r="A1641" s="385" t="str">
        <f t="shared" si="151"/>
        <v>CV2.--K</v>
      </c>
      <c r="B1641" s="385"/>
      <c r="C1641" s="372"/>
      <c r="D1641" s="372"/>
      <c r="E1641" s="372"/>
      <c r="F1641" s="67" t="s">
        <v>1161</v>
      </c>
      <c r="G1641" s="347">
        <f t="shared" si="152"/>
        <v>0</v>
      </c>
      <c r="H1641" s="3"/>
      <c r="I1641" s="341"/>
      <c r="J1641" s="341"/>
      <c r="K1641" s="342">
        <f>((PI()*C1641^2)/4)*(IF(C1641=6,44.279,IF(C1641=8,46.427,IF(C1641=10,48.467)))+((2/SQRT(3))*(D1641-(IF(C1641=6,24.5,IF(C1641=8,26.5,IF(C1641=10,28.5))))))*2*1.05)</f>
        <v>0</v>
      </c>
      <c r="L1641" s="737"/>
      <c r="T1641" s="20"/>
      <c r="U1641" s="20"/>
    </row>
    <row r="1642" spans="1:21" customFormat="1" ht="14.4">
      <c r="A1642" s="388" t="str">
        <f t="shared" si="151"/>
        <v>CV3.10-150-Material?K</v>
      </c>
      <c r="B1642" s="388"/>
      <c r="C1642" s="372">
        <v>10</v>
      </c>
      <c r="D1642" s="372">
        <v>150</v>
      </c>
      <c r="E1642" s="362" t="s">
        <v>1184</v>
      </c>
      <c r="F1642" s="67" t="s">
        <v>1162</v>
      </c>
      <c r="G1642" s="347">
        <f t="shared" si="152"/>
        <v>2.848877102703766E-2</v>
      </c>
      <c r="H1642" s="3"/>
      <c r="I1642" s="341"/>
      <c r="J1642" s="341"/>
      <c r="K1642" s="342">
        <f>((PI()*C1642^2)/4)*(IF(C1642=6,44.279,IF(C1642=8,46.427,IF(C1642=10,48.467)))+((2/SQRT(3))*(D1642-(IF(C1642=6,24.5,IF(C1642=8,26.5,IF(C1642=10,28.5))))))*2*1.12)</f>
        <v>28488.771027037659</v>
      </c>
      <c r="L1642" s="737"/>
      <c r="T1642" s="20"/>
      <c r="U1642" s="20"/>
    </row>
    <row r="1643" spans="1:21" customFormat="1" ht="14.4">
      <c r="A1643" s="388" t="str">
        <f t="shared" si="151"/>
        <v>CV3.--K</v>
      </c>
      <c r="B1643" s="388"/>
      <c r="C1643" s="372"/>
      <c r="D1643" s="372"/>
      <c r="E1643" s="372"/>
      <c r="F1643" s="67" t="s">
        <v>1162</v>
      </c>
      <c r="G1643" s="347">
        <f t="shared" si="152"/>
        <v>0</v>
      </c>
      <c r="H1643" s="3"/>
      <c r="I1643" s="341"/>
      <c r="J1643" s="341"/>
      <c r="K1643" s="342">
        <f>((PI()*C1643^2)/4)*(IF(C1643=6,44.279,IF(C1643=8,46.427,IF(C1643=10,48.467)))+((2/SQRT(3))*(D1643-(IF(C1643=6,24.5,IF(C1643=8,26.5,IF(C1643=10,28.5))))))*2*1.12)</f>
        <v>0</v>
      </c>
      <c r="L1643" s="737"/>
      <c r="T1643" s="20"/>
      <c r="U1643" s="20"/>
    </row>
    <row r="1644" spans="1:21" customFormat="1" ht="14.4">
      <c r="A1644" s="388" t="str">
        <f t="shared" si="151"/>
        <v>CV3.--K</v>
      </c>
      <c r="B1644" s="388"/>
      <c r="C1644" s="372"/>
      <c r="D1644" s="372"/>
      <c r="E1644" s="372"/>
      <c r="F1644" s="67" t="s">
        <v>1162</v>
      </c>
      <c r="G1644" s="347">
        <f t="shared" si="152"/>
        <v>0</v>
      </c>
      <c r="H1644" s="3"/>
      <c r="I1644" s="341"/>
      <c r="J1644" s="341"/>
      <c r="K1644" s="342">
        <f>((PI()*C1644^2)/4)*(IF(C1644=6,44.279,IF(C1644=8,46.427,IF(C1644=10,48.467)))+((2/SQRT(3))*(D1644-(IF(C1644=6,24.5,IF(C1644=8,26.5,IF(C1644=10,28.5))))))*2*1.12)</f>
        <v>0</v>
      </c>
      <c r="L1644" s="737"/>
      <c r="T1644" s="20"/>
      <c r="U1644" s="20"/>
    </row>
    <row r="1645" spans="1:21" customFormat="1" ht="14.4">
      <c r="A1645" s="387" t="str">
        <f t="shared" si="151"/>
        <v>STH.10-100-Material?K</v>
      </c>
      <c r="B1645" s="387"/>
      <c r="C1645" s="372">
        <v>10</v>
      </c>
      <c r="D1645" s="372">
        <v>100</v>
      </c>
      <c r="E1645" s="362" t="s">
        <v>1184</v>
      </c>
      <c r="F1645" s="67" t="s">
        <v>1170</v>
      </c>
      <c r="G1645" s="347">
        <f t="shared" si="152"/>
        <v>1.7109192131266354E-2</v>
      </c>
      <c r="H1645" s="3"/>
      <c r="I1645" s="341"/>
      <c r="J1645" s="341"/>
      <c r="K1645" s="342">
        <f>((PI()*C1645^2)/4)*(IF(C1645=6,42.274,IF(C1645=8,46.559,IF(C1645=10,46.841)))+((D1645-(C1645+2))*2)-5)*1</f>
        <v>17109.192131266354</v>
      </c>
      <c r="L1645" s="737"/>
      <c r="M1645" s="3"/>
      <c r="T1645" s="20"/>
      <c r="U1645" s="20"/>
    </row>
    <row r="1646" spans="1:21" customFormat="1" ht="14.4">
      <c r="A1646" s="387" t="str">
        <f t="shared" si="151"/>
        <v>STH.--K</v>
      </c>
      <c r="B1646" s="387"/>
      <c r="C1646" s="372"/>
      <c r="D1646" s="372"/>
      <c r="E1646" s="372"/>
      <c r="F1646" s="67" t="s">
        <v>1170</v>
      </c>
      <c r="G1646" s="347">
        <f t="shared" si="152"/>
        <v>0</v>
      </c>
      <c r="H1646" s="3"/>
      <c r="I1646" s="341"/>
      <c r="J1646" s="341"/>
      <c r="K1646" s="342">
        <f>((PI()*C1646^2)/4)*(IF(C1646=6,42.274,IF(C1646=8,46.559,IF(C1646=10,46.841)))+((D1646-(C1646+2))*2)-5)*1</f>
        <v>0</v>
      </c>
      <c r="L1646" s="737"/>
      <c r="M1646" s="3"/>
      <c r="T1646" s="20"/>
      <c r="U1646" s="20"/>
    </row>
    <row r="1647" spans="1:21" customFormat="1" ht="14.4">
      <c r="A1647" s="387" t="str">
        <f t="shared" si="151"/>
        <v>STH.--K</v>
      </c>
      <c r="B1647" s="387"/>
      <c r="C1647" s="372"/>
      <c r="D1647" s="372"/>
      <c r="E1647" s="372"/>
      <c r="F1647" s="67" t="s">
        <v>1170</v>
      </c>
      <c r="G1647" s="347">
        <f t="shared" si="152"/>
        <v>0</v>
      </c>
      <c r="H1647" s="3"/>
      <c r="I1647" s="341"/>
      <c r="J1647" s="341"/>
      <c r="K1647" s="342">
        <f>((PI()*C1647^2)/4)*(IF(C1647=6,42.274,IF(C1647=8,46.559,IF(C1647=10,46.841)))+((D1647-(C1647+2))*2)-5)*1</f>
        <v>0</v>
      </c>
      <c r="L1647" s="737"/>
      <c r="M1647" s="3"/>
      <c r="T1647" s="20"/>
      <c r="U1647" s="20"/>
    </row>
    <row r="1648" spans="1:21" customFormat="1" ht="14.4">
      <c r="A1648" s="385" t="str">
        <f t="shared" si="151"/>
        <v>CTH.10-100-Material?K</v>
      </c>
      <c r="B1648" s="385"/>
      <c r="C1648" s="372">
        <v>10</v>
      </c>
      <c r="D1648" s="372">
        <v>100</v>
      </c>
      <c r="E1648" s="362" t="s">
        <v>1184</v>
      </c>
      <c r="F1648" s="67" t="s">
        <v>1171</v>
      </c>
      <c r="G1648" s="347">
        <f t="shared" si="152"/>
        <v>1.7964651737829674E-2</v>
      </c>
      <c r="H1648" s="3"/>
      <c r="I1648" s="341"/>
      <c r="J1648" s="341"/>
      <c r="K1648" s="342">
        <f>((PI()*C1648^2)/4)*(IF(C1648=6,42.274,IF(C1648=8,46.559,IF(C1648=10,46.841)))+((D1648-(C1648+2))*2)-5)*1.05</f>
        <v>17964.651737829674</v>
      </c>
      <c r="L1648" s="737"/>
      <c r="M1648" s="3"/>
      <c r="T1648" s="20"/>
      <c r="U1648" s="20"/>
    </row>
    <row r="1649" spans="1:21" customFormat="1" ht="14.4">
      <c r="A1649" s="385" t="str">
        <f t="shared" si="151"/>
        <v>CTH.--K</v>
      </c>
      <c r="B1649" s="385"/>
      <c r="C1649" s="372"/>
      <c r="D1649" s="372"/>
      <c r="E1649" s="372"/>
      <c r="F1649" s="67" t="s">
        <v>1171</v>
      </c>
      <c r="G1649" s="347">
        <f t="shared" si="152"/>
        <v>0</v>
      </c>
      <c r="H1649" s="3"/>
      <c r="I1649" s="341"/>
      <c r="J1649" s="341"/>
      <c r="K1649" s="342">
        <f>((PI()*C1649^2)/4)*(IF(C1649=6,42.274,IF(C1649=8,46.559,IF(C1649=10,46.841)))+((D1649-(C1649+2))*2)-5)*1.05</f>
        <v>0</v>
      </c>
      <c r="L1649" s="737"/>
      <c r="M1649" s="3"/>
      <c r="T1649" s="20"/>
      <c r="U1649" s="20"/>
    </row>
    <row r="1650" spans="1:21" customFormat="1" ht="14.4">
      <c r="A1650" s="385" t="str">
        <f t="shared" si="151"/>
        <v>CTH.--K</v>
      </c>
      <c r="B1650" s="385"/>
      <c r="C1650" s="372"/>
      <c r="D1650" s="372"/>
      <c r="E1650" s="372"/>
      <c r="F1650" s="67" t="s">
        <v>1171</v>
      </c>
      <c r="G1650" s="347">
        <f t="shared" si="152"/>
        <v>0</v>
      </c>
      <c r="H1650" s="3"/>
      <c r="I1650" s="341"/>
      <c r="J1650" s="341"/>
      <c r="K1650" s="342">
        <f>((PI()*C1650^2)/4)*(IF(C1650=6,42.274,IF(C1650=8,46.559,IF(C1650=10,46.841)))+((D1650-(C1650+2))*2)-5)*1.05</f>
        <v>0</v>
      </c>
      <c r="L1650" s="737"/>
      <c r="M1650" s="3"/>
      <c r="T1650" s="20"/>
      <c r="U1650" s="20"/>
    </row>
    <row r="1651" spans="1:21" customFormat="1" ht="14.4">
      <c r="A1651" s="388" t="str">
        <f t="shared" si="151"/>
        <v>HTH.10-100-Material?K</v>
      </c>
      <c r="B1651" s="388"/>
      <c r="C1651" s="372">
        <v>10</v>
      </c>
      <c r="D1651" s="372">
        <v>100</v>
      </c>
      <c r="E1651" s="362" t="s">
        <v>1184</v>
      </c>
      <c r="F1651" s="67" t="s">
        <v>1172</v>
      </c>
      <c r="G1651" s="347">
        <f t="shared" si="152"/>
        <v>1.8649019423080327E-2</v>
      </c>
      <c r="H1651" s="3"/>
      <c r="I1651" s="341"/>
      <c r="J1651" s="341"/>
      <c r="K1651" s="342">
        <f>((PI()*C1651^2)/4)*(IF(C1651=6,42.274,IF(C1651=8,46.559,IF(C1651=10,46.841)))+((D1651-(C1651+2))*2)-5)*1.09</f>
        <v>18649.019423080328</v>
      </c>
      <c r="L1651" s="737"/>
      <c r="M1651" s="3"/>
      <c r="T1651" s="20"/>
      <c r="U1651" s="20"/>
    </row>
    <row r="1652" spans="1:21" customFormat="1" ht="14.4">
      <c r="A1652" s="388" t="str">
        <f t="shared" si="151"/>
        <v>HTH.--K</v>
      </c>
      <c r="B1652" s="388"/>
      <c r="C1652" s="372"/>
      <c r="D1652" s="372"/>
      <c r="E1652" s="372"/>
      <c r="F1652" s="67" t="s">
        <v>1172</v>
      </c>
      <c r="G1652" s="347">
        <f t="shared" si="152"/>
        <v>0</v>
      </c>
      <c r="H1652" s="3"/>
      <c r="I1652" s="341"/>
      <c r="J1652" s="341"/>
      <c r="K1652" s="342">
        <f>((PI()*C1652^2)/4)*(IF(C1652=6,42.274,IF(C1652=8,46.559,IF(C1652=10,46.841)))+((D1652-(C1652+2))*2)-5)*1.09</f>
        <v>0</v>
      </c>
      <c r="L1652" s="737"/>
      <c r="M1652" s="3"/>
      <c r="T1652" s="20"/>
      <c r="U1652" s="20"/>
    </row>
    <row r="1653" spans="1:21" customFormat="1" ht="14.4">
      <c r="A1653" s="388" t="str">
        <f t="shared" si="151"/>
        <v>HTH.--K</v>
      </c>
      <c r="B1653" s="388"/>
      <c r="C1653" s="372"/>
      <c r="D1653" s="372"/>
      <c r="E1653" s="372"/>
      <c r="F1653" s="67" t="s">
        <v>1172</v>
      </c>
      <c r="G1653" s="347">
        <f t="shared" si="152"/>
        <v>0</v>
      </c>
      <c r="H1653" s="3"/>
      <c r="I1653" s="341"/>
      <c r="J1653" s="341"/>
      <c r="K1653" s="342">
        <f>((PI()*C1653^2)/4)*(IF(C1653=6,42.274,IF(C1653=8,46.559,IF(C1653=10,46.841)))+((D1653-(C1653+2))*2)-5)*1.09</f>
        <v>0</v>
      </c>
      <c r="L1653" s="737"/>
      <c r="M1653" s="3"/>
      <c r="T1653" s="20"/>
      <c r="U1653" s="20"/>
    </row>
    <row r="1654" spans="1:21" customFormat="1" ht="14.4">
      <c r="A1654" s="387" t="str">
        <f t="shared" si="151"/>
        <v>STP.10-100-Material?K</v>
      </c>
      <c r="B1654" s="387"/>
      <c r="C1654" s="372">
        <v>10</v>
      </c>
      <c r="D1654" s="372">
        <v>100</v>
      </c>
      <c r="E1654" s="362" t="s">
        <v>1184</v>
      </c>
      <c r="F1654" s="67" t="s">
        <v>1163</v>
      </c>
      <c r="G1654" s="347">
        <f t="shared" si="152"/>
        <v>1.5028672396426513E-2</v>
      </c>
      <c r="H1654" s="3"/>
      <c r="I1654" s="341"/>
      <c r="J1654" s="341"/>
      <c r="K1654" s="342">
        <f>((PI()*C1654^2)/4)*(IF(C1654=6,11.042,IF(C1654=8,14.197,IF(C1654=10,17.351)))+((D1654-(C1654+0.5))*2)-5)*1</f>
        <v>15028.672396426513</v>
      </c>
      <c r="L1654" s="737"/>
      <c r="M1654" s="3"/>
      <c r="T1654" s="20"/>
      <c r="U1654" s="20"/>
    </row>
    <row r="1655" spans="1:21" customFormat="1" ht="14.4">
      <c r="A1655" s="387" t="str">
        <f t="shared" si="151"/>
        <v>STP.--K</v>
      </c>
      <c r="B1655" s="387"/>
      <c r="C1655" s="372"/>
      <c r="D1655" s="372"/>
      <c r="E1655" s="372"/>
      <c r="F1655" s="67" t="s">
        <v>1163</v>
      </c>
      <c r="G1655" s="347">
        <f t="shared" si="152"/>
        <v>0</v>
      </c>
      <c r="H1655" s="3"/>
      <c r="I1655" s="341"/>
      <c r="J1655" s="341"/>
      <c r="K1655" s="342">
        <f>((PI()*C1655^2)/4)*(IF(C1655=6,11.042,IF(C1655=8,14.197,IF(C1655=10,17.351)))+((D1655-(C1655+0.5))*2)-5)*1</f>
        <v>0</v>
      </c>
      <c r="L1655" s="737"/>
      <c r="M1655" s="3"/>
      <c r="T1655" s="20"/>
      <c r="U1655" s="20"/>
    </row>
    <row r="1656" spans="1:21" customFormat="1" ht="14.4">
      <c r="A1656" s="387" t="str">
        <f t="shared" si="151"/>
        <v>STP.--K</v>
      </c>
      <c r="B1656" s="387"/>
      <c r="C1656" s="372"/>
      <c r="D1656" s="372"/>
      <c r="E1656" s="372"/>
      <c r="F1656" s="67" t="s">
        <v>1163</v>
      </c>
      <c r="G1656" s="347">
        <f t="shared" si="152"/>
        <v>0</v>
      </c>
      <c r="H1656" s="3"/>
      <c r="I1656" s="341"/>
      <c r="J1656" s="341"/>
      <c r="K1656" s="342">
        <f>((PI()*C1656^2)/4)*(IF(C1656=6,11.042,IF(C1656=8,14.197,IF(C1656=10,17.351)))+((D1656-(C1656+0.5))*2)-5)*1</f>
        <v>0</v>
      </c>
      <c r="L1656" s="737"/>
      <c r="M1656" s="3"/>
      <c r="T1656" s="20"/>
      <c r="U1656" s="20"/>
    </row>
    <row r="1657" spans="1:21" customFormat="1" ht="14.4">
      <c r="A1657" s="385" t="str">
        <f t="shared" si="151"/>
        <v>CTP.10-100-Material?K</v>
      </c>
      <c r="B1657" s="385"/>
      <c r="C1657" s="372">
        <v>10</v>
      </c>
      <c r="D1657" s="372">
        <v>100</v>
      </c>
      <c r="E1657" s="362" t="s">
        <v>1184</v>
      </c>
      <c r="F1657" s="67" t="s">
        <v>1164</v>
      </c>
      <c r="G1657" s="347">
        <f t="shared" si="152"/>
        <v>1.5780106016247838E-2</v>
      </c>
      <c r="H1657" s="3"/>
      <c r="I1657" s="341"/>
      <c r="J1657" s="341"/>
      <c r="K1657" s="342">
        <f>((PI()*C1657^2)/4)*(IF(C1657=6,11.042,IF(C1657=8,14.197,IF(C1657=10,17.351)))+((D1657-(C1657+0.5))*2)-5)*1.05</f>
        <v>15780.106016247839</v>
      </c>
      <c r="L1657" s="737"/>
      <c r="M1657" s="3"/>
      <c r="T1657" s="20"/>
      <c r="U1657" s="20"/>
    </row>
    <row r="1658" spans="1:21" customFormat="1" ht="14.4">
      <c r="A1658" s="385" t="str">
        <f t="shared" si="151"/>
        <v>CTP.--K</v>
      </c>
      <c r="B1658" s="385"/>
      <c r="C1658" s="372"/>
      <c r="D1658" s="372"/>
      <c r="E1658" s="372"/>
      <c r="F1658" s="67" t="s">
        <v>1164</v>
      </c>
      <c r="G1658" s="347">
        <f t="shared" si="152"/>
        <v>0</v>
      </c>
      <c r="H1658" s="3"/>
      <c r="I1658" s="341"/>
      <c r="J1658" s="341"/>
      <c r="K1658" s="342">
        <f>((PI()*C1658^2)/4)*(IF(C1658=6,11.042,IF(C1658=8,14.197,IF(C1658=10,17.351)))+((D1658-(C1658+0.5))*2)-5)*1.05</f>
        <v>0</v>
      </c>
      <c r="L1658" s="737"/>
      <c r="M1658" s="3"/>
      <c r="T1658" s="20"/>
      <c r="U1658" s="20"/>
    </row>
    <row r="1659" spans="1:21" customFormat="1" ht="14.4">
      <c r="A1659" s="385" t="str">
        <f t="shared" si="151"/>
        <v>CTP.--K</v>
      </c>
      <c r="B1659" s="385"/>
      <c r="C1659" s="372"/>
      <c r="D1659" s="372"/>
      <c r="E1659" s="372"/>
      <c r="F1659" s="67" t="s">
        <v>1164</v>
      </c>
      <c r="G1659" s="347">
        <f t="shared" si="152"/>
        <v>0</v>
      </c>
      <c r="H1659" s="3"/>
      <c r="I1659" s="341"/>
      <c r="J1659" s="341"/>
      <c r="K1659" s="342">
        <f>((PI()*C1659^2)/4)*(IF(C1659=6,11.042,IF(C1659=8,14.197,IF(C1659=10,17.351)))+((D1659-(C1659+0.5))*2)-5)*1.05</f>
        <v>0</v>
      </c>
      <c r="L1659" s="737"/>
      <c r="M1659" s="3"/>
      <c r="T1659" s="20"/>
      <c r="U1659" s="20"/>
    </row>
    <row r="1660" spans="1:21" customFormat="1" ht="14.4">
      <c r="A1660" s="388" t="str">
        <f t="shared" si="151"/>
        <v>HTP.10-100-Material?K</v>
      </c>
      <c r="B1660" s="388"/>
      <c r="C1660" s="372">
        <v>10</v>
      </c>
      <c r="D1660" s="372">
        <v>100</v>
      </c>
      <c r="E1660" s="362" t="s">
        <v>1184</v>
      </c>
      <c r="F1660" s="67" t="s">
        <v>1165</v>
      </c>
      <c r="G1660" s="347">
        <f t="shared" si="152"/>
        <v>1.6381252912104901E-2</v>
      </c>
      <c r="H1660" s="3"/>
      <c r="I1660" s="341"/>
      <c r="J1660" s="341"/>
      <c r="K1660" s="342">
        <f>((PI()*C1660^2)/4)*(IF(C1660=6,11.042,IF(C1660=8,14.197,IF(C1660=10,17.351)))+((D1660-(C1660+0.5))*2)-5)*1.09</f>
        <v>16381.252912104901</v>
      </c>
      <c r="L1660" s="737"/>
      <c r="M1660" s="3"/>
      <c r="T1660" s="20"/>
      <c r="U1660" s="20"/>
    </row>
    <row r="1661" spans="1:21" customFormat="1" ht="14.4">
      <c r="A1661" s="388" t="str">
        <f t="shared" si="151"/>
        <v>HTP.--K</v>
      </c>
      <c r="B1661" s="388"/>
      <c r="C1661" s="372"/>
      <c r="D1661" s="372"/>
      <c r="E1661" s="372"/>
      <c r="F1661" s="67" t="s">
        <v>1165</v>
      </c>
      <c r="G1661" s="347">
        <f t="shared" si="152"/>
        <v>0</v>
      </c>
      <c r="H1661" s="3"/>
      <c r="I1661" s="341"/>
      <c r="J1661" s="341"/>
      <c r="K1661" s="342">
        <f>((PI()*C1661^2)/4)*(IF(C1661=6,11.042,IF(C1661=8,14.197,IF(C1661=10,17.351)))+((D1661-(C1661+0.5))*2)-5)*1.09</f>
        <v>0</v>
      </c>
      <c r="L1661" s="737"/>
      <c r="M1661" s="3"/>
      <c r="T1661" s="20"/>
      <c r="U1661" s="20"/>
    </row>
    <row r="1662" spans="1:21" customFormat="1" ht="14.4">
      <c r="A1662" s="388" t="str">
        <f t="shared" si="151"/>
        <v>HTP.--K</v>
      </c>
      <c r="B1662" s="388"/>
      <c r="C1662" s="372"/>
      <c r="D1662" s="372"/>
      <c r="E1662" s="372"/>
      <c r="F1662" s="67" t="s">
        <v>1165</v>
      </c>
      <c r="G1662" s="347">
        <f t="shared" si="152"/>
        <v>0</v>
      </c>
      <c r="H1662" s="3"/>
      <c r="I1662" s="341"/>
      <c r="J1662" s="341"/>
      <c r="K1662" s="342">
        <f>((PI()*C1662^2)/4)*(IF(C1662=6,11.042,IF(C1662=8,14.197,IF(C1662=10,17.351)))+((D1662-(C1662+0.5))*2)-5)*1.09</f>
        <v>0</v>
      </c>
      <c r="L1662" s="737"/>
      <c r="M1662" s="3"/>
      <c r="T1662" s="20"/>
      <c r="U1662" s="20"/>
    </row>
    <row r="1663" spans="1:21" customFormat="1" ht="14.4">
      <c r="A1663" s="387" t="str">
        <f t="shared" si="151"/>
        <v>SKD.6-100-Material?K</v>
      </c>
      <c r="B1663" s="387"/>
      <c r="C1663" s="372">
        <v>6</v>
      </c>
      <c r="D1663" s="372">
        <v>100</v>
      </c>
      <c r="E1663" s="362" t="s">
        <v>1184</v>
      </c>
      <c r="F1663" s="67" t="s">
        <v>1174</v>
      </c>
      <c r="G1663" s="347">
        <f t="shared" si="152"/>
        <v>5.4581339613085271E-3</v>
      </c>
      <c r="I1663" s="341"/>
      <c r="J1663" s="341"/>
      <c r="K1663" s="342">
        <f>((PI()*C1663^2)/4)*(IF(C1663=6,11.042,IF(C1663=8,14.197,IF(C1663=10,17.351)))+((D1663-(C1663+0.5))*2)-5)*1</f>
        <v>5458.1339613085274</v>
      </c>
      <c r="L1663" s="737"/>
      <c r="T1663" s="20"/>
      <c r="U1663" s="20"/>
    </row>
    <row r="1664" spans="1:21" customFormat="1" ht="14.4">
      <c r="A1664" s="387" t="str">
        <f t="shared" si="151"/>
        <v>SKD.--K</v>
      </c>
      <c r="B1664" s="387"/>
      <c r="C1664" s="372"/>
      <c r="D1664" s="372"/>
      <c r="E1664" s="372"/>
      <c r="F1664" s="67" t="s">
        <v>1174</v>
      </c>
      <c r="G1664" s="347">
        <f t="shared" si="152"/>
        <v>0</v>
      </c>
      <c r="I1664" s="341"/>
      <c r="J1664" s="341"/>
      <c r="K1664" s="342">
        <f>((PI()*C1664^2)/4)*(IF(C1664=6,11.042,IF(C1664=8,14.197,IF(C1664=10,17.351)))+((D1664-(C1664+0.5))*2)-5)*1</f>
        <v>0</v>
      </c>
      <c r="L1664" s="737"/>
      <c r="T1664" s="20"/>
      <c r="U1664" s="20"/>
    </row>
    <row r="1665" spans="1:21" customFormat="1" ht="15" thickBot="1">
      <c r="A1665" s="387" t="str">
        <f t="shared" si="151"/>
        <v>SKD.--K</v>
      </c>
      <c r="B1665" s="387"/>
      <c r="C1665" s="372"/>
      <c r="D1665" s="372"/>
      <c r="E1665" s="372"/>
      <c r="F1665" s="67" t="s">
        <v>1174</v>
      </c>
      <c r="G1665" s="347">
        <f t="shared" si="152"/>
        <v>0</v>
      </c>
      <c r="I1665" s="341"/>
      <c r="J1665" s="341"/>
      <c r="K1665" s="342">
        <f>((PI()*C1665^2)/4)*(IF(C1665=6,11.042,IF(C1665=8,14.197,IF(C1665=10,17.351)))+((D1665-(C1665+0.5))*2)-5)*1</f>
        <v>0</v>
      </c>
      <c r="L1665" s="737"/>
      <c r="T1665" s="20"/>
      <c r="U1665" s="20"/>
    </row>
    <row r="1666" spans="1:21" customFormat="1" ht="14.4">
      <c r="A1666" s="431" t="str">
        <f>F1666&amp;"."&amp;C1666&amp;"-"&amp;E1666</f>
        <v>WB.10-Material?</v>
      </c>
      <c r="B1666" s="67"/>
      <c r="C1666" s="372">
        <v>10</v>
      </c>
      <c r="D1666" s="67"/>
      <c r="E1666" s="362" t="s">
        <v>1184</v>
      </c>
      <c r="F1666" s="67" t="s">
        <v>1175</v>
      </c>
      <c r="G1666" s="346">
        <f>77.78256*(PI()*C1666^2)/4</f>
        <v>6109.0279768351829</v>
      </c>
      <c r="L1666" s="737"/>
      <c r="T1666" s="20"/>
      <c r="U1666" s="20"/>
    </row>
    <row r="1667" spans="1:21" customFormat="1" ht="14.4">
      <c r="A1667" s="422" t="str">
        <f>F1667&amp;"."&amp;C1667&amp;"-"&amp;E1667</f>
        <v>WB.12-Material?</v>
      </c>
      <c r="B1667" s="67"/>
      <c r="C1667" s="372">
        <v>12</v>
      </c>
      <c r="D1667" s="67"/>
      <c r="E1667" s="362" t="s">
        <v>1184</v>
      </c>
      <c r="F1667" s="67" t="s">
        <v>1175</v>
      </c>
      <c r="G1667" s="346">
        <f>77.30728*(PI()*C1667^2)/4</f>
        <v>8743.2473850123297</v>
      </c>
      <c r="L1667" s="737"/>
      <c r="T1667" s="20"/>
      <c r="U1667" s="20"/>
    </row>
    <row r="1668" spans="1:21">
      <c r="L1668" s="737"/>
    </row>
    <row r="1669" spans="1:21" s="294" customFormat="1">
      <c r="A1669" s="353" t="s">
        <v>1151</v>
      </c>
      <c r="B1669" s="353" t="s">
        <v>2145</v>
      </c>
      <c r="C1669" s="348" t="s">
        <v>1152</v>
      </c>
      <c r="D1669" s="348" t="s">
        <v>2146</v>
      </c>
      <c r="E1669" s="348" t="s">
        <v>2147</v>
      </c>
      <c r="F1669" s="348" t="s">
        <v>1154</v>
      </c>
      <c r="G1669" s="343" t="s">
        <v>1169</v>
      </c>
      <c r="H1669" s="343" t="s">
        <v>1159</v>
      </c>
      <c r="L1669" s="737"/>
      <c r="Q1669" s="541"/>
      <c r="R1669" s="2"/>
    </row>
    <row r="1670" spans="1:21" customFormat="1" ht="14.4">
      <c r="A1670" s="385" t="str">
        <f>H1670&amp;"."&amp;C1670&amp;"("&amp;B1670&amp;")"&amp;D1670&amp;"/"&amp;E1670&amp;"-"&amp;F1670</f>
        <v>RCA.8(120)80/20-Material?</v>
      </c>
      <c r="B1670" s="575">
        <v>120</v>
      </c>
      <c r="C1670" s="372">
        <v>8</v>
      </c>
      <c r="D1670" s="372">
        <v>80</v>
      </c>
      <c r="E1670" s="372">
        <v>20</v>
      </c>
      <c r="F1670" s="362" t="s">
        <v>1184</v>
      </c>
      <c r="G1670" s="347">
        <f t="shared" ref="G1670:G1672" si="153">K1670/10^6</f>
        <v>1.8117962998069476E-2</v>
      </c>
      <c r="H1670" s="344" t="s">
        <v>2148</v>
      </c>
      <c r="I1670" s="341"/>
      <c r="J1670" s="341"/>
      <c r="K1670" s="342">
        <f>((PI()*C1670^2)/4)*((120-10-C1670)+((C1670+10)*PI()*180/360)+((D1670-(C1670/2)-5)*2)+((C1670+15)*PI()*B1670/360*2)+(E1670*2))</f>
        <v>18117.962998069477</v>
      </c>
      <c r="L1670" s="737"/>
      <c r="M1670">
        <f>(120-10-C1670)+((C1670+10)*PI()*180/360)+((D1670-(C1670/2)-5)*2)+((C1670+15)*PI()*B1670/360*2)+(E1670*2)</f>
        <v>360.44542123735164</v>
      </c>
    </row>
    <row r="1671" spans="1:21" customFormat="1" ht="14.4">
      <c r="A1671" s="385" t="str">
        <f>H1671&amp;"."&amp;C1671&amp;"("&amp;B1671&amp;")"&amp;D1671&amp;"/"&amp;E1671&amp;"-"&amp;F1671</f>
        <v>RCA.()/-</v>
      </c>
      <c r="B1671" s="575"/>
      <c r="C1671" s="372"/>
      <c r="D1671" s="372"/>
      <c r="E1671" s="372"/>
      <c r="F1671" s="362"/>
      <c r="G1671" s="347">
        <f t="shared" si="153"/>
        <v>0</v>
      </c>
      <c r="H1671" s="344" t="s">
        <v>2148</v>
      </c>
      <c r="I1671" s="341"/>
      <c r="J1671" s="341"/>
      <c r="K1671" s="342">
        <f>((PI()*C1671^2)/4)*((120-10-C1671)+((C1671+10)*PI()*180/360)+((D1671-(C1671/2)-5)*2)+((C1671+15)*PI()*B1671/360*2)+(E1671*2))</f>
        <v>0</v>
      </c>
      <c r="L1671" s="737"/>
      <c r="M1671">
        <f>(120-10-C1671)+((C1671+10)*PI()*180/360)+((D1671-(C1671/2)-5)*2)+((C1671+15)*PI()*B1671/360*2)+(E1671*2)</f>
        <v>115.70796326794897</v>
      </c>
    </row>
    <row r="1672" spans="1:21" customFormat="1" ht="14.4">
      <c r="A1672" s="385" t="str">
        <f>H1672&amp;"."&amp;C1672&amp;"("&amp;B1672&amp;")"&amp;D1672&amp;"/"&amp;E1672&amp;"-"&amp;F1672</f>
        <v>RCA.()/-</v>
      </c>
      <c r="B1672" s="575"/>
      <c r="C1672" s="372"/>
      <c r="D1672" s="372"/>
      <c r="E1672" s="372"/>
      <c r="F1672" s="362"/>
      <c r="G1672" s="347">
        <f t="shared" si="153"/>
        <v>0</v>
      </c>
      <c r="H1672" s="344" t="s">
        <v>2148</v>
      </c>
      <c r="I1672" s="341"/>
      <c r="J1672" s="341"/>
      <c r="K1672" s="342">
        <f>((PI()*C1672^2)/4)*((120-10-C1672)+((C1672+10)*PI()*180/360)+((D1672-(C1672/2)-5)*2)+((C1672+15)*PI()*B1672/360*2)+(E1672*2))</f>
        <v>0</v>
      </c>
      <c r="L1672" s="737"/>
      <c r="M1672">
        <f>(120-10-C1672)+((C1672+10)*PI()*180/360)+((D1672-(C1672/2)-5)*2)+((C1672+15)*PI()*B1672/360*2)+(E1672*2)</f>
        <v>115.70796326794897</v>
      </c>
    </row>
    <row r="1673" spans="1:21" s="294" customFormat="1">
      <c r="A1673" s="576"/>
      <c r="B1673" s="457"/>
      <c r="C1673" s="457"/>
      <c r="D1673" s="457"/>
      <c r="E1673" s="457"/>
      <c r="F1673" s="457"/>
      <c r="G1673" s="577"/>
      <c r="H1673" s="576"/>
      <c r="I1673" s="576"/>
      <c r="J1673" s="576"/>
      <c r="K1673" s="576"/>
      <c r="L1673" s="737"/>
      <c r="Q1673" s="541"/>
      <c r="R1673" s="2"/>
    </row>
    <row r="1674" spans="1:21">
      <c r="A1674" s="353" t="s">
        <v>1151</v>
      </c>
      <c r="B1674" s="344"/>
      <c r="C1674" s="348" t="s">
        <v>1152</v>
      </c>
      <c r="D1674" s="348" t="s">
        <v>1153</v>
      </c>
      <c r="E1674" s="348" t="s">
        <v>1168</v>
      </c>
      <c r="F1674" s="348" t="s">
        <v>1154</v>
      </c>
      <c r="G1674" s="343" t="s">
        <v>1169</v>
      </c>
      <c r="H1674" s="343" t="s">
        <v>1159</v>
      </c>
      <c r="L1674" s="737"/>
    </row>
    <row r="1675" spans="1:21" customFormat="1" ht="14.4">
      <c r="A1675" s="385" t="str">
        <f t="shared" ref="A1675:A1680" si="154">H1675&amp;"."&amp;C1675&amp;"-"&amp;D1675&amp;"("&amp;E1675&amp;")"&amp;"-"&amp;F1675&amp;"K"</f>
        <v>TWA.8-100(30)-Material?K</v>
      </c>
      <c r="B1675" s="385"/>
      <c r="C1675" s="372">
        <v>8</v>
      </c>
      <c r="D1675" s="372">
        <v>100</v>
      </c>
      <c r="E1675" s="372">
        <v>30</v>
      </c>
      <c r="F1675" s="362" t="s">
        <v>1184</v>
      </c>
      <c r="G1675" s="347">
        <f t="shared" ref="G1675:G1683" si="155">K1675/10^6</f>
        <v>1.2940661130251163E-2</v>
      </c>
      <c r="H1675" t="s">
        <v>1166</v>
      </c>
      <c r="I1675" s="341"/>
      <c r="J1675" s="341"/>
      <c r="K1675" s="342">
        <f>((PI()*C1675^2)/4)*(63.407+(E1675-11.5)*2+((2/SQRT(3))*((D1675-E1675)-C1675/4))*2*1)</f>
        <v>12940.661130251163</v>
      </c>
      <c r="L1675" s="737"/>
    </row>
    <row r="1676" spans="1:21" customFormat="1" ht="14.4">
      <c r="A1676" s="385" t="str">
        <f t="shared" si="154"/>
        <v>TWA.-()-K</v>
      </c>
      <c r="B1676" s="385"/>
      <c r="C1676" s="372"/>
      <c r="D1676" s="372"/>
      <c r="E1676" s="372"/>
      <c r="F1676" s="372"/>
      <c r="G1676" s="347">
        <f t="shared" si="155"/>
        <v>0</v>
      </c>
      <c r="H1676" t="s">
        <v>1166</v>
      </c>
      <c r="I1676" s="341"/>
      <c r="J1676" s="341"/>
      <c r="K1676" s="342">
        <f>((PI()*C1676^2)/4)*(63.407+(E1676-11.5)*2+((2/SQRT(3))*((D1676-E1676)-C1676/4))*2*1)</f>
        <v>0</v>
      </c>
      <c r="L1676" s="737"/>
    </row>
    <row r="1677" spans="1:21" customFormat="1" ht="14.4">
      <c r="A1677" s="385" t="str">
        <f t="shared" si="154"/>
        <v>TWA.-()-K</v>
      </c>
      <c r="B1677" s="385"/>
      <c r="C1677" s="372"/>
      <c r="D1677" s="372"/>
      <c r="E1677" s="372"/>
      <c r="F1677" s="372"/>
      <c r="G1677" s="347">
        <f t="shared" si="155"/>
        <v>0</v>
      </c>
      <c r="H1677" t="s">
        <v>1166</v>
      </c>
      <c r="I1677" s="341"/>
      <c r="J1677" s="341"/>
      <c r="K1677" s="342">
        <f>((PI()*C1677^2)/4)*(63.407+(E1677-11.5)*2+((2/SQRT(3))*((D1677-E1677)-C1677/4))*2*1)</f>
        <v>0</v>
      </c>
      <c r="L1677" s="737"/>
    </row>
    <row r="1678" spans="1:21" customFormat="1" ht="14.4">
      <c r="A1678" s="388" t="str">
        <f t="shared" si="154"/>
        <v>TWM.8-100(30)-Material?K</v>
      </c>
      <c r="B1678" s="388"/>
      <c r="C1678" s="372">
        <v>8</v>
      </c>
      <c r="D1678" s="372">
        <v>100</v>
      </c>
      <c r="E1678" s="372">
        <v>30</v>
      </c>
      <c r="F1678" s="362" t="s">
        <v>1184</v>
      </c>
      <c r="G1678" s="347">
        <f t="shared" si="155"/>
        <v>1.3374812146074265E-2</v>
      </c>
      <c r="H1678" t="s">
        <v>1167</v>
      </c>
      <c r="I1678" s="341"/>
      <c r="J1678" s="341"/>
      <c r="K1678" s="342">
        <f>((PI()*C1678^2)/4)*(63.407+(E1678-11.5)*2+((2/SQRT(3))*((D1678-E1678)-C1678/4))*2*1.055)</f>
        <v>13374.812146074266</v>
      </c>
      <c r="L1678" s="737"/>
    </row>
    <row r="1679" spans="1:21" customFormat="1" ht="14.4">
      <c r="A1679" s="388" t="str">
        <f t="shared" si="154"/>
        <v>TWM.-()-K</v>
      </c>
      <c r="B1679" s="388"/>
      <c r="C1679" s="372"/>
      <c r="D1679" s="372"/>
      <c r="E1679" s="372"/>
      <c r="F1679" s="372"/>
      <c r="G1679" s="347">
        <f t="shared" si="155"/>
        <v>0</v>
      </c>
      <c r="H1679" t="s">
        <v>1167</v>
      </c>
      <c r="I1679" s="341"/>
      <c r="J1679" s="341"/>
      <c r="K1679" s="342">
        <f>((PI()*C1679^2)/4)*(63.407+(E1679-11.5)*2+((2/SQRT(3))*((D1679-E1679)-C1679/4))*2*1.055)</f>
        <v>0</v>
      </c>
      <c r="L1679" s="737"/>
    </row>
    <row r="1680" spans="1:21" customFormat="1" ht="15" thickBot="1">
      <c r="A1680" s="388" t="str">
        <f t="shared" si="154"/>
        <v>TWM.-()-K</v>
      </c>
      <c r="B1680" s="388"/>
      <c r="C1680" s="372"/>
      <c r="D1680" s="372"/>
      <c r="E1680" s="372"/>
      <c r="F1680" s="372"/>
      <c r="G1680" s="347">
        <f t="shared" si="155"/>
        <v>0</v>
      </c>
      <c r="H1680" t="s">
        <v>1167</v>
      </c>
      <c r="I1680" s="341"/>
      <c r="J1680" s="341"/>
      <c r="K1680" s="342">
        <f>((PI()*C1680^2)/4)*(63.407+(E1680-11.5)*2+((2/SQRT(3))*((D1680-E1680)-C1680/4))*2*1.055)</f>
        <v>0</v>
      </c>
      <c r="L1680" s="737"/>
    </row>
    <row r="1681" spans="1:15" customFormat="1" ht="15" thickBot="1">
      <c r="A1681" s="431" t="str">
        <f>H1681&amp;"."&amp;C1681&amp;"-"&amp;D1681&amp;"-"&amp;"("&amp;E1681&amp;")"&amp;"-"&amp;F1681&amp;"K"</f>
        <v>YHA.6-100-(30)-Material?K</v>
      </c>
      <c r="B1681" s="349"/>
      <c r="C1681" s="372">
        <v>6</v>
      </c>
      <c r="D1681" s="372">
        <v>100</v>
      </c>
      <c r="E1681" s="372">
        <v>30</v>
      </c>
      <c r="F1681" s="362" t="s">
        <v>1184</v>
      </c>
      <c r="G1681" s="347">
        <f t="shared" si="155"/>
        <v>3.4789242961527835E-2</v>
      </c>
      <c r="H1681" t="s">
        <v>1173</v>
      </c>
      <c r="I1681" s="341"/>
      <c r="J1681" s="341"/>
      <c r="K1681" s="342">
        <f>((32*C1681)*((E1681+((2/SQRT(3))*((D1681-(E1681+C1681/4))))*2)-7))</f>
        <v>34789.242961527838</v>
      </c>
      <c r="L1681" s="737"/>
      <c r="O1681" s="3"/>
    </row>
    <row r="1682" spans="1:15" customFormat="1" ht="15" thickBot="1">
      <c r="A1682" s="431" t="str">
        <f>H1682&amp;"."&amp;C1682&amp;"-"&amp;D1682&amp;"-"&amp;"("&amp;E1682&amp;")"&amp;"-"&amp;F1682&amp;"K"</f>
        <v>YHA.--()-K</v>
      </c>
      <c r="B1682" s="349"/>
      <c r="C1682" s="372"/>
      <c r="D1682" s="372"/>
      <c r="E1682" s="372"/>
      <c r="F1682" s="372"/>
      <c r="G1682" s="347">
        <f t="shared" si="155"/>
        <v>0</v>
      </c>
      <c r="H1682" t="s">
        <v>1173</v>
      </c>
      <c r="I1682" s="341"/>
      <c r="J1682" s="341"/>
      <c r="K1682" s="342">
        <f>((32*C1682)*((E1682+((2/SQRT(3))*((D1682-(E1682+C1682/4))))*2)-7))</f>
        <v>0</v>
      </c>
      <c r="L1682" s="737"/>
      <c r="O1682" s="3"/>
    </row>
    <row r="1683" spans="1:15" customFormat="1" ht="14.4">
      <c r="A1683" s="431" t="str">
        <f>H1683&amp;"."&amp;C1683&amp;"-"&amp;D1683&amp;"-"&amp;"("&amp;E1683&amp;")"&amp;"-"&amp;F1683&amp;"K"</f>
        <v>YHA.--()-K</v>
      </c>
      <c r="B1683" s="349"/>
      <c r="C1683" s="372"/>
      <c r="D1683" s="372"/>
      <c r="E1683" s="372"/>
      <c r="F1683" s="372"/>
      <c r="G1683" s="347">
        <f t="shared" si="155"/>
        <v>0</v>
      </c>
      <c r="H1683" t="s">
        <v>1173</v>
      </c>
      <c r="I1683" s="341"/>
      <c r="J1683" s="341"/>
      <c r="K1683" s="342">
        <f>((32*C1683)*((E1683+((2/SQRT(3))*((D1683-(E1683+C1683/4))))*2)-7))</f>
        <v>0</v>
      </c>
      <c r="L1683" s="737"/>
      <c r="O1683" s="3"/>
    </row>
    <row r="1684" spans="1:15">
      <c r="L1684" s="737"/>
    </row>
    <row r="1685" spans="1:15">
      <c r="A1685" s="353" t="s">
        <v>1151</v>
      </c>
      <c r="C1685" s="348" t="s">
        <v>1153</v>
      </c>
      <c r="E1685" s="343" t="s">
        <v>1154</v>
      </c>
      <c r="F1685" s="343" t="s">
        <v>1159</v>
      </c>
      <c r="G1685" s="343" t="s">
        <v>1169</v>
      </c>
      <c r="L1685" s="737"/>
    </row>
    <row r="1686" spans="1:15" ht="14.4">
      <c r="A1686" s="452" t="str">
        <f t="shared" ref="A1686:A1696" si="156">F1686&amp;C1686&amp;"-"&amp;E1686</f>
        <v>SLA12-Material?</v>
      </c>
      <c r="B1686" s="452"/>
      <c r="C1686" s="362">
        <v>12</v>
      </c>
      <c r="D1686" s="349"/>
      <c r="E1686" s="362" t="s">
        <v>1184</v>
      </c>
      <c r="F1686" s="349" t="s">
        <v>1176</v>
      </c>
      <c r="G1686" s="17">
        <f t="shared" ref="G1686:G1696" si="157">(541.67282+(C1686-2.5)*6*2)*50/10^6</f>
        <v>3.2783641000000002E-2</v>
      </c>
      <c r="L1686" s="737"/>
    </row>
    <row r="1687" spans="1:15" ht="14.4">
      <c r="A1687" s="452" t="str">
        <f t="shared" si="156"/>
        <v>SLA25-Material?</v>
      </c>
      <c r="B1687" s="452"/>
      <c r="C1687" s="362">
        <v>25</v>
      </c>
      <c r="D1687" s="349"/>
      <c r="E1687" s="362" t="s">
        <v>1184</v>
      </c>
      <c r="F1687" s="349" t="s">
        <v>1176</v>
      </c>
      <c r="G1687" s="17">
        <f t="shared" si="157"/>
        <v>4.0583641000000004E-2</v>
      </c>
      <c r="L1687" s="737"/>
    </row>
    <row r="1688" spans="1:15" ht="14.4">
      <c r="A1688" s="452" t="str">
        <f t="shared" si="156"/>
        <v>SLA28-Material?</v>
      </c>
      <c r="B1688" s="452"/>
      <c r="C1688" s="362">
        <v>28</v>
      </c>
      <c r="D1688" s="349"/>
      <c r="E1688" s="362" t="s">
        <v>1184</v>
      </c>
      <c r="F1688" s="349" t="s">
        <v>1176</v>
      </c>
      <c r="G1688" s="17">
        <f t="shared" si="157"/>
        <v>4.2383641000000007E-2</v>
      </c>
      <c r="L1688" s="737"/>
    </row>
    <row r="1689" spans="1:15" ht="14.4">
      <c r="A1689" s="452" t="str">
        <f t="shared" si="156"/>
        <v>SLA32-Material?</v>
      </c>
      <c r="B1689" s="452"/>
      <c r="C1689" s="362">
        <v>32</v>
      </c>
      <c r="D1689" s="349"/>
      <c r="E1689" s="362" t="s">
        <v>1184</v>
      </c>
      <c r="F1689" s="349" t="s">
        <v>1176</v>
      </c>
      <c r="G1689" s="17">
        <f t="shared" si="157"/>
        <v>4.4783641000000006E-2</v>
      </c>
      <c r="L1689" s="737"/>
    </row>
    <row r="1690" spans="1:15" ht="14.4">
      <c r="A1690" s="452" t="str">
        <f t="shared" si="156"/>
        <v>SLA36-Material?</v>
      </c>
      <c r="B1690" s="452"/>
      <c r="C1690" s="362">
        <v>36</v>
      </c>
      <c r="D1690" s="349"/>
      <c r="E1690" s="362" t="s">
        <v>1184</v>
      </c>
      <c r="F1690" s="349" t="s">
        <v>1176</v>
      </c>
      <c r="G1690" s="17">
        <f t="shared" si="157"/>
        <v>4.7183641000000005E-2</v>
      </c>
      <c r="L1690" s="737"/>
    </row>
    <row r="1691" spans="1:15" ht="14.4">
      <c r="A1691" s="452" t="str">
        <f t="shared" si="156"/>
        <v>SLA45-Material?</v>
      </c>
      <c r="B1691" s="452"/>
      <c r="C1691" s="362">
        <v>45</v>
      </c>
      <c r="D1691" s="349"/>
      <c r="E1691" s="362" t="s">
        <v>1184</v>
      </c>
      <c r="F1691" s="349" t="s">
        <v>1176</v>
      </c>
      <c r="G1691" s="17">
        <f t="shared" si="157"/>
        <v>5.2583641E-2</v>
      </c>
      <c r="L1691" s="737"/>
    </row>
    <row r="1692" spans="1:15" ht="14.4">
      <c r="A1692" s="452" t="str">
        <f t="shared" si="156"/>
        <v>SLA50-Material?</v>
      </c>
      <c r="B1692" s="452"/>
      <c r="C1692" s="362">
        <v>50</v>
      </c>
      <c r="D1692" s="349"/>
      <c r="E1692" s="362" t="s">
        <v>1184</v>
      </c>
      <c r="F1692" s="349" t="s">
        <v>1176</v>
      </c>
      <c r="G1692" s="17">
        <f t="shared" si="157"/>
        <v>5.5583641000000003E-2</v>
      </c>
      <c r="L1692" s="737"/>
    </row>
    <row r="1693" spans="1:15" ht="14.4">
      <c r="A1693" s="452" t="str">
        <f t="shared" si="156"/>
        <v>SLA55-Material?</v>
      </c>
      <c r="B1693" s="452"/>
      <c r="C1693" s="362">
        <v>55</v>
      </c>
      <c r="D1693" s="349"/>
      <c r="E1693" s="362" t="s">
        <v>1184</v>
      </c>
      <c r="F1693" s="349" t="s">
        <v>1176</v>
      </c>
      <c r="G1693" s="17">
        <f t="shared" si="157"/>
        <v>5.8583641000000006E-2</v>
      </c>
      <c r="L1693" s="737"/>
    </row>
    <row r="1694" spans="1:15" ht="14.4">
      <c r="A1694" s="452" t="str">
        <f t="shared" si="156"/>
        <v>SLA75-Material?</v>
      </c>
      <c r="B1694" s="452"/>
      <c r="C1694" s="362">
        <v>75</v>
      </c>
      <c r="D1694" s="349"/>
      <c r="E1694" s="362" t="s">
        <v>1184</v>
      </c>
      <c r="F1694" s="349" t="s">
        <v>1176</v>
      </c>
      <c r="G1694" s="17">
        <f t="shared" si="157"/>
        <v>7.0583641000000003E-2</v>
      </c>
      <c r="L1694" s="737"/>
    </row>
    <row r="1695" spans="1:15" ht="14.4">
      <c r="A1695" s="452" t="str">
        <f t="shared" si="156"/>
        <v>SLA105-Material?</v>
      </c>
      <c r="B1695" s="452"/>
      <c r="C1695" s="362">
        <v>105</v>
      </c>
      <c r="D1695" s="349"/>
      <c r="E1695" s="362" t="s">
        <v>1184</v>
      </c>
      <c r="F1695" s="349" t="s">
        <v>1176</v>
      </c>
      <c r="G1695" s="17">
        <f t="shared" si="157"/>
        <v>8.8583641000000005E-2</v>
      </c>
      <c r="L1695" s="737"/>
    </row>
    <row r="1696" spans="1:15" ht="14.4">
      <c r="A1696" s="452" t="str">
        <f t="shared" si="156"/>
        <v>SLA110-Material?</v>
      </c>
      <c r="B1696" s="452"/>
      <c r="C1696" s="362">
        <v>110</v>
      </c>
      <c r="D1696" s="349"/>
      <c r="E1696" s="362" t="s">
        <v>1184</v>
      </c>
      <c r="F1696" s="349" t="s">
        <v>1176</v>
      </c>
      <c r="G1696" s="17">
        <f t="shared" si="157"/>
        <v>9.1583641000000007E-2</v>
      </c>
      <c r="L1696" s="737"/>
    </row>
    <row r="1697" spans="1:12">
      <c r="L1697" s="737"/>
    </row>
    <row r="1698" spans="1:12" ht="14.4">
      <c r="A1698" s="452" t="str">
        <f>F1698&amp;"-"&amp;E1698</f>
        <v>SKL-Material?</v>
      </c>
      <c r="B1698" s="452"/>
      <c r="C1698" s="349"/>
      <c r="D1698" s="349"/>
      <c r="E1698" s="362" t="s">
        <v>1184</v>
      </c>
      <c r="F1698" s="349" t="s">
        <v>1177</v>
      </c>
      <c r="G1698" s="17">
        <f>2630.43242*70/10^6</f>
        <v>0.18413026940000002</v>
      </c>
      <c r="L1698" s="737"/>
    </row>
    <row r="1699" spans="1:12">
      <c r="L1699" s="737"/>
    </row>
    <row r="1700" spans="1:12" ht="14.4">
      <c r="A1700" s="451" t="str">
        <f t="shared" ref="A1700:A1707" si="158">F1700&amp;C1700&amp;"-"&amp;E1700</f>
        <v>BU27-Material?</v>
      </c>
      <c r="B1700" s="451"/>
      <c r="C1700" s="362">
        <v>27</v>
      </c>
      <c r="D1700" s="349"/>
      <c r="E1700" s="362" t="s">
        <v>1184</v>
      </c>
      <c r="F1700" s="349" t="s">
        <v>1178</v>
      </c>
      <c r="G1700" s="17">
        <f t="shared" ref="G1700:G1707" si="159">(1643.68135+(C1700-27)*12*2)*20/10^6</f>
        <v>3.2873627000000002E-2</v>
      </c>
      <c r="L1700" s="737"/>
    </row>
    <row r="1701" spans="1:12" ht="14.4">
      <c r="A1701" s="451" t="str">
        <f t="shared" si="158"/>
        <v>BU42-Material?</v>
      </c>
      <c r="B1701" s="451"/>
      <c r="C1701" s="362">
        <v>42</v>
      </c>
      <c r="D1701" s="349"/>
      <c r="E1701" s="362" t="s">
        <v>1184</v>
      </c>
      <c r="F1701" s="349" t="s">
        <v>1178</v>
      </c>
      <c r="G1701" s="17">
        <f t="shared" si="159"/>
        <v>4.0073627000000001E-2</v>
      </c>
      <c r="L1701" s="737"/>
    </row>
    <row r="1702" spans="1:12" ht="14.4">
      <c r="A1702" s="451" t="str">
        <f t="shared" si="158"/>
        <v>BU52-Material?</v>
      </c>
      <c r="B1702" s="451"/>
      <c r="C1702" s="362">
        <v>52</v>
      </c>
      <c r="D1702" s="349"/>
      <c r="E1702" s="362" t="s">
        <v>1184</v>
      </c>
      <c r="F1702" s="349" t="s">
        <v>1178</v>
      </c>
      <c r="G1702" s="17">
        <f t="shared" si="159"/>
        <v>4.4873626999999992E-2</v>
      </c>
      <c r="L1702" s="737"/>
    </row>
    <row r="1703" spans="1:12" ht="14.4">
      <c r="A1703" s="451" t="str">
        <f t="shared" si="158"/>
        <v>BU77-Material?</v>
      </c>
      <c r="B1703" s="451"/>
      <c r="C1703" s="362">
        <v>77</v>
      </c>
      <c r="D1703" s="349"/>
      <c r="E1703" s="362" t="s">
        <v>1184</v>
      </c>
      <c r="F1703" s="349" t="s">
        <v>1178</v>
      </c>
      <c r="G1703" s="17">
        <f t="shared" si="159"/>
        <v>5.6873626999999996E-2</v>
      </c>
      <c r="L1703" s="737"/>
    </row>
    <row r="1704" spans="1:12" ht="14.4">
      <c r="A1704" s="451" t="str">
        <f t="shared" si="158"/>
        <v>BU102-Material?</v>
      </c>
      <c r="B1704" s="451"/>
      <c r="C1704" s="362">
        <v>102</v>
      </c>
      <c r="D1704" s="349"/>
      <c r="E1704" s="362" t="s">
        <v>1184</v>
      </c>
      <c r="F1704" s="349" t="s">
        <v>1178</v>
      </c>
      <c r="G1704" s="17">
        <f t="shared" si="159"/>
        <v>6.8873626999999993E-2</v>
      </c>
      <c r="L1704" s="737"/>
    </row>
    <row r="1705" spans="1:12" ht="14.4">
      <c r="A1705" s="451" t="str">
        <f t="shared" si="158"/>
        <v>BU127-Material?</v>
      </c>
      <c r="B1705" s="451"/>
      <c r="C1705" s="362">
        <v>127</v>
      </c>
      <c r="D1705" s="349"/>
      <c r="E1705" s="362" t="s">
        <v>1184</v>
      </c>
      <c r="F1705" s="349" t="s">
        <v>1178</v>
      </c>
      <c r="G1705" s="17">
        <f t="shared" si="159"/>
        <v>8.087362699999999E-2</v>
      </c>
      <c r="L1705" s="737"/>
    </row>
    <row r="1706" spans="1:12" ht="14.4">
      <c r="A1706" s="451" t="str">
        <f t="shared" si="158"/>
        <v>BU157-Material?</v>
      </c>
      <c r="B1706" s="451"/>
      <c r="C1706" s="362">
        <v>157</v>
      </c>
      <c r="D1706" s="349"/>
      <c r="E1706" s="362" t="s">
        <v>1184</v>
      </c>
      <c r="F1706" s="349" t="s">
        <v>1178</v>
      </c>
      <c r="G1706" s="17">
        <f t="shared" si="159"/>
        <v>9.5273627E-2</v>
      </c>
      <c r="L1706" s="737"/>
    </row>
    <row r="1707" spans="1:12" ht="14.4">
      <c r="A1707" s="451" t="str">
        <f t="shared" si="158"/>
        <v>BU177-Material?</v>
      </c>
      <c r="B1707" s="451"/>
      <c r="C1707" s="362">
        <v>177</v>
      </c>
      <c r="D1707" s="349"/>
      <c r="E1707" s="362" t="s">
        <v>1184</v>
      </c>
      <c r="F1707" s="349" t="s">
        <v>1178</v>
      </c>
      <c r="G1707" s="17">
        <f t="shared" si="159"/>
        <v>0.104873627</v>
      </c>
      <c r="L1707" s="737"/>
    </row>
    <row r="1708" spans="1:12">
      <c r="L1708" s="737"/>
    </row>
    <row r="1709" spans="1:12" ht="14.4">
      <c r="A1709" s="451" t="str">
        <f>F1709&amp;"-"&amp;E1709</f>
        <v>GKB-Material?</v>
      </c>
      <c r="B1709" s="451"/>
      <c r="C1709" s="349"/>
      <c r="D1709" s="349"/>
      <c r="E1709" s="362" t="s">
        <v>1184</v>
      </c>
      <c r="F1709" s="349" t="s">
        <v>1179</v>
      </c>
      <c r="G1709" s="17">
        <f>1.17/7.85</f>
        <v>0.14904458598726114</v>
      </c>
      <c r="L1709" s="737"/>
    </row>
    <row r="1710" spans="1:12">
      <c r="L1710" s="737"/>
    </row>
    <row r="1711" spans="1:12" ht="14.4">
      <c r="A1711" s="423" t="str">
        <f>F1711&amp;C1711&amp;"-"&amp;E1711</f>
        <v>KSET48-Material?</v>
      </c>
      <c r="B1711" s="349"/>
      <c r="C1711" s="367">
        <v>48</v>
      </c>
      <c r="D1711" s="423"/>
      <c r="E1711" s="367" t="s">
        <v>1184</v>
      </c>
      <c r="F1711" s="423" t="s">
        <v>1180</v>
      </c>
      <c r="G1711" s="350">
        <f>2/7.85</f>
        <v>0.25477707006369427</v>
      </c>
      <c r="L1711" s="737"/>
    </row>
    <row r="1712" spans="1:12" ht="14.4">
      <c r="A1712" s="423" t="str">
        <f>F1712&amp;C1712&amp;"-"&amp;E1712</f>
        <v>KSET53-Material?</v>
      </c>
      <c r="B1712" s="349"/>
      <c r="C1712" s="367">
        <v>53</v>
      </c>
      <c r="D1712" s="423"/>
      <c r="E1712" s="367" t="s">
        <v>1184</v>
      </c>
      <c r="F1712" s="423" t="s">
        <v>1180</v>
      </c>
      <c r="G1712" s="350">
        <f>2/7.85</f>
        <v>0.25477707006369427</v>
      </c>
      <c r="L1712" s="737"/>
    </row>
    <row r="1713" spans="1:14" ht="14.4">
      <c r="A1713" s="423" t="str">
        <f>F1713&amp;C1713&amp;"-"&amp;E1713</f>
        <v>KSET58-Material?</v>
      </c>
      <c r="B1713" s="349"/>
      <c r="C1713" s="367">
        <v>58</v>
      </c>
      <c r="D1713" s="423"/>
      <c r="E1713" s="367" t="s">
        <v>1184</v>
      </c>
      <c r="F1713" s="423" t="s">
        <v>1180</v>
      </c>
      <c r="G1713" s="350">
        <f>2/7.85</f>
        <v>0.25477707006369427</v>
      </c>
      <c r="L1713" s="737"/>
    </row>
    <row r="1714" spans="1:14" ht="14.4">
      <c r="A1714" s="423" t="str">
        <f>F1714&amp;C1714&amp;"-"&amp;E1714</f>
        <v>KSET63-Material?</v>
      </c>
      <c r="B1714" s="349"/>
      <c r="C1714" s="367">
        <v>63</v>
      </c>
      <c r="D1714" s="423"/>
      <c r="E1714" s="367" t="s">
        <v>1184</v>
      </c>
      <c r="F1714" s="423" t="s">
        <v>1180</v>
      </c>
      <c r="G1714" s="350">
        <f>2/7.85</f>
        <v>0.25477707006369427</v>
      </c>
      <c r="L1714" s="737"/>
    </row>
    <row r="1715" spans="1:14" ht="14.4">
      <c r="A1715" s="423" t="str">
        <f>F1715&amp;C1715&amp;"-"&amp;E1715</f>
        <v>KSET68-Material?</v>
      </c>
      <c r="B1715" s="349"/>
      <c r="C1715" s="367">
        <v>68</v>
      </c>
      <c r="D1715" s="423"/>
      <c r="E1715" s="367" t="s">
        <v>1184</v>
      </c>
      <c r="F1715" s="423" t="s">
        <v>1180</v>
      </c>
      <c r="G1715" s="350">
        <f>2/7.85</f>
        <v>0.25477707006369427</v>
      </c>
      <c r="L1715" s="737"/>
    </row>
    <row r="1716" spans="1:14">
      <c r="L1716" s="737"/>
    </row>
    <row r="1717" spans="1:14" ht="14.4">
      <c r="A1717" s="453" t="str">
        <f>F1717&amp;"-"&amp;E1717</f>
        <v>UAH01-Material?</v>
      </c>
      <c r="B1717" s="453"/>
      <c r="C1717" s="349"/>
      <c r="D1717" s="349"/>
      <c r="E1717" s="362" t="s">
        <v>1184</v>
      </c>
      <c r="F1717" s="340" t="s">
        <v>1181</v>
      </c>
      <c r="G1717" s="17">
        <v>0.108</v>
      </c>
      <c r="L1717" s="737"/>
    </row>
    <row r="1718" spans="1:14">
      <c r="A1718" s="1"/>
      <c r="F1718" s="294"/>
      <c r="L1718" s="737"/>
    </row>
    <row r="1719" spans="1:14" ht="14.4">
      <c r="A1719" s="361" t="str">
        <f>F1719&amp;"-"&amp;150&amp;"-"&amp;E1719</f>
        <v>UAH02-150-Material?</v>
      </c>
      <c r="B1719" s="361"/>
      <c r="C1719" s="349"/>
      <c r="D1719" s="349"/>
      <c r="E1719" s="362" t="s">
        <v>1184</v>
      </c>
      <c r="F1719" s="340" t="s">
        <v>1182</v>
      </c>
      <c r="G1719" s="17">
        <v>0.11394813843027231</v>
      </c>
      <c r="J1719" s="351"/>
      <c r="K1719" s="351"/>
      <c r="L1719" s="737"/>
      <c r="N1719" s="16"/>
    </row>
    <row r="1720" spans="1:14" ht="14.4">
      <c r="A1720" s="361" t="str">
        <f>F1720&amp;"-"&amp;200&amp;"-"&amp;E1720</f>
        <v>UAH02-200-Material?</v>
      </c>
      <c r="B1720" s="361"/>
      <c r="C1720" s="349"/>
      <c r="D1720" s="349"/>
      <c r="E1720" s="362" t="s">
        <v>1184</v>
      </c>
      <c r="F1720" s="340" t="s">
        <v>1182</v>
      </c>
      <c r="G1720" s="17">
        <v>0.12661582540770977</v>
      </c>
      <c r="J1720" s="351"/>
      <c r="K1720" s="351"/>
      <c r="L1720" s="737"/>
      <c r="N1720" s="16"/>
    </row>
    <row r="1721" spans="1:14" ht="14.4">
      <c r="A1721" s="361" t="str">
        <f>F1721&amp;"-"&amp;250&amp;"-"&amp;E1721</f>
        <v>UAH02-250-Material?</v>
      </c>
      <c r="B1721" s="361"/>
      <c r="C1721" s="349"/>
      <c r="D1721" s="349"/>
      <c r="E1721" s="362" t="s">
        <v>1184</v>
      </c>
      <c r="F1721" s="340" t="s">
        <v>1182</v>
      </c>
      <c r="G1721" s="17">
        <v>0.13928351238514719</v>
      </c>
      <c r="J1721" s="351"/>
      <c r="K1721" s="351"/>
      <c r="L1721" s="737"/>
      <c r="N1721" s="16"/>
    </row>
    <row r="1722" spans="1:14" ht="14.4">
      <c r="A1722" s="361" t="str">
        <f>F1722&amp;"-"&amp;300&amp;"-"&amp;E1722</f>
        <v>UAH02-300-Material?</v>
      </c>
      <c r="B1722" s="361"/>
      <c r="C1722" s="349"/>
      <c r="D1722" s="349"/>
      <c r="E1722" s="362" t="s">
        <v>1184</v>
      </c>
      <c r="F1722" s="340" t="s">
        <v>1182</v>
      </c>
      <c r="G1722" s="17">
        <v>0.15195119936258461</v>
      </c>
      <c r="J1722" s="351"/>
      <c r="K1722" s="351"/>
      <c r="L1722" s="737"/>
      <c r="N1722" s="16"/>
    </row>
    <row r="1723" spans="1:14" ht="14.4">
      <c r="A1723" s="361" t="str">
        <f>F1723&amp;"-"&amp;350&amp;"-"&amp;E1723</f>
        <v>UAH02-350-Material?</v>
      </c>
      <c r="B1723" s="361"/>
      <c r="C1723" s="349"/>
      <c r="D1723" s="349"/>
      <c r="E1723" s="362" t="s">
        <v>1184</v>
      </c>
      <c r="F1723" s="340" t="s">
        <v>1182</v>
      </c>
      <c r="G1723" s="17">
        <v>0.16461888634002209</v>
      </c>
      <c r="J1723" s="351"/>
      <c r="K1723" s="351"/>
      <c r="L1723" s="737"/>
      <c r="N1723" s="16"/>
    </row>
    <row r="1724" spans="1:14" ht="14.4">
      <c r="A1724" s="361" t="str">
        <f>F1724&amp;"-"&amp;400&amp;"-"&amp;E1724</f>
        <v>UAH02-400-Material?</v>
      </c>
      <c r="B1724" s="361"/>
      <c r="C1724" s="349"/>
      <c r="D1724" s="349"/>
      <c r="E1724" s="362" t="s">
        <v>1184</v>
      </c>
      <c r="F1724" s="340" t="s">
        <v>1182</v>
      </c>
      <c r="G1724" s="17">
        <v>0.17728657331745951</v>
      </c>
      <c r="J1724" s="351"/>
      <c r="K1724" s="351"/>
      <c r="L1724" s="737"/>
      <c r="N1724" s="16"/>
    </row>
    <row r="1725" spans="1:14" ht="14.4">
      <c r="A1725" s="361" t="str">
        <f>F1725&amp;"-"&amp;450&amp;"-"&amp;E1725</f>
        <v>UAH02-450-Material?</v>
      </c>
      <c r="B1725" s="361"/>
      <c r="C1725" s="349"/>
      <c r="D1725" s="349"/>
      <c r="E1725" s="362" t="s">
        <v>1184</v>
      </c>
      <c r="F1725" s="340" t="s">
        <v>1182</v>
      </c>
      <c r="G1725" s="17">
        <v>0.18995426029489698</v>
      </c>
      <c r="J1725" s="351"/>
      <c r="K1725" s="351"/>
      <c r="L1725" s="737"/>
      <c r="N1725" s="16"/>
    </row>
    <row r="1726" spans="1:14" ht="14.4">
      <c r="A1726" s="361" t="str">
        <f>F1726&amp;"-"&amp;500&amp;"-"&amp;E1726</f>
        <v>UAH02-500-Material?</v>
      </c>
      <c r="B1726" s="361"/>
      <c r="C1726" s="349"/>
      <c r="D1726" s="349"/>
      <c r="E1726" s="362" t="s">
        <v>1184</v>
      </c>
      <c r="F1726" s="340" t="s">
        <v>1182</v>
      </c>
      <c r="G1726" s="17">
        <v>0.2026219472723344</v>
      </c>
      <c r="J1726" s="351"/>
      <c r="K1726" s="351"/>
      <c r="L1726" s="737"/>
      <c r="N1726" s="16"/>
    </row>
    <row r="1727" spans="1:14" ht="14.4">
      <c r="A1727" s="361" t="str">
        <f>F1727&amp;"-"&amp;550&amp;"-"&amp;E1727</f>
        <v>UAH02-550-Material?</v>
      </c>
      <c r="B1727" s="361"/>
      <c r="C1727" s="349"/>
      <c r="D1727" s="349"/>
      <c r="E1727" s="362" t="s">
        <v>1184</v>
      </c>
      <c r="F1727" s="340" t="s">
        <v>1182</v>
      </c>
      <c r="G1727" s="17">
        <v>0.21528963424977182</v>
      </c>
      <c r="J1727" s="351"/>
      <c r="K1727" s="351"/>
      <c r="L1727" s="737"/>
      <c r="N1727" s="16"/>
    </row>
    <row r="1728" spans="1:14">
      <c r="L1728" s="737"/>
    </row>
    <row r="1729" spans="1:12" ht="14.4">
      <c r="A1729" s="360" t="str">
        <f t="shared" ref="A1729:A1737" si="160">F1729&amp;C1729&amp;"-"&amp;E1729</f>
        <v>BL30-Material?</v>
      </c>
      <c r="B1729" s="360"/>
      <c r="C1729" s="362">
        <v>30</v>
      </c>
      <c r="D1729" s="349"/>
      <c r="E1729" s="362" t="s">
        <v>1184</v>
      </c>
      <c r="F1729" s="349" t="s">
        <v>1183</v>
      </c>
      <c r="G1729" s="17">
        <f t="shared" ref="G1729:G1737" si="161">(105.39+(C1729-24)*2)*(8*8*PI())/10^6</f>
        <v>2.3602659942713974E-2</v>
      </c>
      <c r="L1729" s="737"/>
    </row>
    <row r="1730" spans="1:12" ht="14.4">
      <c r="A1730" s="360" t="str">
        <f t="shared" si="160"/>
        <v>BL40-Material?</v>
      </c>
      <c r="B1730" s="360"/>
      <c r="C1730" s="362">
        <v>40</v>
      </c>
      <c r="D1730" s="349"/>
      <c r="E1730" s="362" t="s">
        <v>1184</v>
      </c>
      <c r="F1730" s="349" t="s">
        <v>1183</v>
      </c>
      <c r="G1730" s="17">
        <f t="shared" si="161"/>
        <v>2.7623898539308907E-2</v>
      </c>
      <c r="L1730" s="737"/>
    </row>
    <row r="1731" spans="1:12" ht="14.4">
      <c r="A1731" s="360" t="str">
        <f t="shared" si="160"/>
        <v>BL50-Material?</v>
      </c>
      <c r="B1731" s="360"/>
      <c r="C1731" s="362">
        <v>50</v>
      </c>
      <c r="D1731" s="349"/>
      <c r="E1731" s="362" t="s">
        <v>1184</v>
      </c>
      <c r="F1731" s="349" t="s">
        <v>1183</v>
      </c>
      <c r="G1731" s="17">
        <f t="shared" si="161"/>
        <v>3.1645137135903841E-2</v>
      </c>
      <c r="L1731" s="737"/>
    </row>
    <row r="1732" spans="1:12" ht="14.4">
      <c r="A1732" s="360" t="str">
        <f t="shared" si="160"/>
        <v>BL60-Material?</v>
      </c>
      <c r="B1732" s="360"/>
      <c r="C1732" s="362">
        <v>60</v>
      </c>
      <c r="D1732" s="349"/>
      <c r="E1732" s="362" t="s">
        <v>1184</v>
      </c>
      <c r="F1732" s="349" t="s">
        <v>1183</v>
      </c>
      <c r="G1732" s="17">
        <f t="shared" si="161"/>
        <v>3.5666375732498777E-2</v>
      </c>
      <c r="L1732" s="737"/>
    </row>
    <row r="1733" spans="1:12" ht="14.4">
      <c r="A1733" s="360" t="str">
        <f t="shared" si="160"/>
        <v>BL70-Material?</v>
      </c>
      <c r="B1733" s="360"/>
      <c r="C1733" s="362">
        <v>70</v>
      </c>
      <c r="D1733" s="349"/>
      <c r="E1733" s="362" t="s">
        <v>1184</v>
      </c>
      <c r="F1733" s="349" t="s">
        <v>1183</v>
      </c>
      <c r="G1733" s="17">
        <f t="shared" si="161"/>
        <v>3.9687614329093714E-2</v>
      </c>
      <c r="L1733" s="737"/>
    </row>
    <row r="1734" spans="1:12" ht="14.4">
      <c r="A1734" s="360" t="str">
        <f t="shared" si="160"/>
        <v>BL80-Material?</v>
      </c>
      <c r="B1734" s="360"/>
      <c r="C1734" s="362">
        <v>80</v>
      </c>
      <c r="D1734" s="349"/>
      <c r="E1734" s="362" t="s">
        <v>1184</v>
      </c>
      <c r="F1734" s="349" t="s">
        <v>1183</v>
      </c>
      <c r="G1734" s="17">
        <f t="shared" si="161"/>
        <v>4.370885292568865E-2</v>
      </c>
      <c r="L1734" s="737"/>
    </row>
    <row r="1735" spans="1:12" ht="14.4">
      <c r="A1735" s="360" t="str">
        <f t="shared" si="160"/>
        <v>BL90-Material?</v>
      </c>
      <c r="B1735" s="360"/>
      <c r="C1735" s="362">
        <v>90</v>
      </c>
      <c r="D1735" s="349"/>
      <c r="E1735" s="362" t="s">
        <v>1184</v>
      </c>
      <c r="F1735" s="349" t="s">
        <v>1183</v>
      </c>
      <c r="G1735" s="17">
        <f t="shared" si="161"/>
        <v>4.773009152228358E-2</v>
      </c>
      <c r="L1735" s="737"/>
    </row>
    <row r="1736" spans="1:12" ht="14.4">
      <c r="A1736" s="360" t="str">
        <f t="shared" si="160"/>
        <v>BL100-Material?</v>
      </c>
      <c r="B1736" s="360"/>
      <c r="C1736" s="362">
        <v>100</v>
      </c>
      <c r="D1736" s="349"/>
      <c r="E1736" s="362" t="s">
        <v>1184</v>
      </c>
      <c r="F1736" s="349" t="s">
        <v>1183</v>
      </c>
      <c r="G1736" s="17">
        <f t="shared" si="161"/>
        <v>5.1751330118878516E-2</v>
      </c>
      <c r="L1736" s="737"/>
    </row>
    <row r="1737" spans="1:12" ht="14.4">
      <c r="A1737" s="360" t="str">
        <f t="shared" si="160"/>
        <v>BL110-Material?</v>
      </c>
      <c r="B1737" s="360"/>
      <c r="C1737" s="362">
        <v>110</v>
      </c>
      <c r="D1737" s="349"/>
      <c r="E1737" s="362" t="s">
        <v>1184</v>
      </c>
      <c r="F1737" s="349" t="s">
        <v>1183</v>
      </c>
      <c r="G1737" s="17">
        <f t="shared" si="161"/>
        <v>5.5772568715473446E-2</v>
      </c>
      <c r="L1737" s="737"/>
    </row>
    <row r="1738" spans="1:12">
      <c r="L1738" s="737"/>
    </row>
    <row r="1739" spans="1:12" ht="14.4">
      <c r="A1739" s="360" t="str">
        <f>F1739&amp;C1739&amp;"-"&amp;E1739</f>
        <v>GK70-Material?</v>
      </c>
      <c r="B1739" s="360"/>
      <c r="C1739" s="349">
        <v>70</v>
      </c>
      <c r="D1739" s="349"/>
      <c r="E1739" s="362" t="s">
        <v>1184</v>
      </c>
      <c r="F1739" s="349" t="s">
        <v>1185</v>
      </c>
      <c r="G1739" s="17">
        <f>0.65/8</f>
        <v>8.1250000000000003E-2</v>
      </c>
      <c r="L1739" s="737"/>
    </row>
    <row r="1740" spans="1:12" ht="14.4">
      <c r="A1740" s="360" t="str">
        <f t="shared" ref="A1740:A1745" si="162">F1740&amp;C1740&amp;"-"&amp;E1740</f>
        <v>GK75-Material?</v>
      </c>
      <c r="B1740" s="360"/>
      <c r="C1740" s="349">
        <v>75</v>
      </c>
      <c r="D1740" s="349"/>
      <c r="E1740" s="362" t="s">
        <v>1184</v>
      </c>
      <c r="F1740" s="349" t="s">
        <v>1185</v>
      </c>
      <c r="G1740" s="17">
        <f>0.67/8</f>
        <v>8.3750000000000005E-2</v>
      </c>
      <c r="L1740" s="737"/>
    </row>
    <row r="1741" spans="1:12" ht="14.4">
      <c r="A1741" s="360" t="str">
        <f t="shared" si="162"/>
        <v>GK80-Material?</v>
      </c>
      <c r="B1741" s="360"/>
      <c r="C1741" s="349">
        <v>80</v>
      </c>
      <c r="D1741" s="349"/>
      <c r="E1741" s="362" t="s">
        <v>1184</v>
      </c>
      <c r="F1741" s="349" t="s">
        <v>1185</v>
      </c>
      <c r="G1741" s="17">
        <f>0.69/8</f>
        <v>8.6249999999999993E-2</v>
      </c>
      <c r="L1741" s="737"/>
    </row>
    <row r="1742" spans="1:12" ht="14.4">
      <c r="A1742" s="360" t="str">
        <f t="shared" si="162"/>
        <v>GK90-Material?</v>
      </c>
      <c r="B1742" s="360"/>
      <c r="C1742" s="349">
        <v>90</v>
      </c>
      <c r="D1742" s="349"/>
      <c r="E1742" s="362" t="s">
        <v>1184</v>
      </c>
      <c r="F1742" s="349" t="s">
        <v>1185</v>
      </c>
      <c r="G1742" s="17">
        <f>0.73/8</f>
        <v>9.1249999999999998E-2</v>
      </c>
      <c r="L1742" s="737"/>
    </row>
    <row r="1743" spans="1:12" ht="14.4">
      <c r="A1743" s="360" t="str">
        <f t="shared" si="162"/>
        <v>GK100-Material?</v>
      </c>
      <c r="B1743" s="360"/>
      <c r="C1743" s="349">
        <v>100</v>
      </c>
      <c r="D1743" s="349"/>
      <c r="E1743" s="362" t="s">
        <v>1184</v>
      </c>
      <c r="F1743" s="349" t="s">
        <v>1185</v>
      </c>
      <c r="G1743" s="17">
        <f>0.77/8</f>
        <v>9.6250000000000002E-2</v>
      </c>
      <c r="L1743" s="737"/>
    </row>
    <row r="1744" spans="1:12" ht="14.4">
      <c r="A1744" s="360" t="str">
        <f t="shared" si="162"/>
        <v>GK110-Material?</v>
      </c>
      <c r="B1744" s="360"/>
      <c r="C1744" s="349">
        <v>110</v>
      </c>
      <c r="D1744" s="349"/>
      <c r="E1744" s="362" t="s">
        <v>1184</v>
      </c>
      <c r="F1744" s="349" t="s">
        <v>1185</v>
      </c>
      <c r="G1744" s="17">
        <f>0.81/8</f>
        <v>0.10125000000000001</v>
      </c>
      <c r="L1744" s="737"/>
    </row>
    <row r="1745" spans="1:22" ht="14.4">
      <c r="A1745" s="360" t="str">
        <f t="shared" si="162"/>
        <v>GK150-Material?</v>
      </c>
      <c r="B1745" s="360"/>
      <c r="C1745" s="349">
        <v>150</v>
      </c>
      <c r="D1745" s="349"/>
      <c r="E1745" s="362" t="s">
        <v>1184</v>
      </c>
      <c r="F1745" s="349" t="s">
        <v>1185</v>
      </c>
      <c r="G1745" s="17">
        <f>0.96/8</f>
        <v>0.12</v>
      </c>
      <c r="I1745" s="17"/>
      <c r="L1745" s="737"/>
    </row>
    <row r="1746" spans="1:22" ht="13.8" thickBot="1">
      <c r="I1746" s="17"/>
      <c r="L1746" s="738"/>
    </row>
    <row r="1747" spans="1:22" ht="25.2" thickBot="1">
      <c r="A1747" s="356" t="s">
        <v>1187</v>
      </c>
      <c r="B1747" s="376"/>
      <c r="C1747" s="376"/>
      <c r="D1747" s="376"/>
      <c r="E1747" s="376"/>
      <c r="F1747" s="376"/>
      <c r="G1747" s="106"/>
      <c r="H1747" s="95"/>
      <c r="I1747" s="95"/>
      <c r="J1747" s="95"/>
      <c r="K1747" s="95"/>
      <c r="L1747" s="95"/>
      <c r="R1747" s="22"/>
      <c r="S1747" s="22"/>
      <c r="T1747" s="20"/>
      <c r="U1747" s="20"/>
      <c r="V1747" s="20"/>
    </row>
    <row r="1748" spans="1:22">
      <c r="A1748" s="340" t="s">
        <v>1186</v>
      </c>
      <c r="B1748" s="349"/>
      <c r="C1748" s="349"/>
      <c r="D1748" s="349"/>
      <c r="E1748" s="349"/>
      <c r="F1748" s="349"/>
      <c r="G1748" s="17">
        <v>1.4219999999999999</v>
      </c>
      <c r="I1748" s="17"/>
      <c r="L1748" s="736"/>
    </row>
    <row r="1749" spans="1:22">
      <c r="A1749" s="340" t="s">
        <v>1188</v>
      </c>
      <c r="B1749" s="349"/>
      <c r="C1749" s="349"/>
      <c r="D1749" s="349"/>
      <c r="E1749" s="349"/>
      <c r="F1749" s="349"/>
      <c r="G1749" s="17">
        <v>1.665</v>
      </c>
      <c r="L1749" s="737"/>
    </row>
    <row r="1750" spans="1:22">
      <c r="A1750" s="340" t="s">
        <v>1189</v>
      </c>
      <c r="B1750" s="349"/>
      <c r="C1750" s="349"/>
      <c r="D1750" s="349"/>
      <c r="E1750" s="349"/>
      <c r="F1750" s="349"/>
      <c r="G1750" s="17">
        <v>1.9079999999999999</v>
      </c>
      <c r="L1750" s="737"/>
    </row>
    <row r="1751" spans="1:22">
      <c r="A1751" s="340" t="s">
        <v>1190</v>
      </c>
      <c r="B1751" s="349"/>
      <c r="C1751" s="349"/>
      <c r="D1751" s="349"/>
      <c r="E1751" s="349"/>
      <c r="F1751" s="349"/>
      <c r="G1751" s="17">
        <v>2.1509999999999998</v>
      </c>
      <c r="L1751" s="737"/>
    </row>
    <row r="1752" spans="1:22">
      <c r="A1752" s="340" t="s">
        <v>1191</v>
      </c>
      <c r="B1752" s="349"/>
      <c r="C1752" s="349"/>
      <c r="D1752" s="349"/>
      <c r="E1752" s="349"/>
      <c r="F1752" s="349"/>
      <c r="G1752" s="17">
        <v>2.3940000000000001</v>
      </c>
      <c r="L1752" s="737"/>
    </row>
    <row r="1753" spans="1:22">
      <c r="A1753" s="340" t="s">
        <v>1192</v>
      </c>
      <c r="B1753" s="380"/>
      <c r="C1753" s="349"/>
      <c r="D1753" s="349"/>
      <c r="E1753" s="349"/>
      <c r="F1753" s="349"/>
      <c r="G1753" s="17">
        <v>2.637</v>
      </c>
      <c r="L1753" s="737"/>
    </row>
    <row r="1754" spans="1:22">
      <c r="A1754" s="340" t="s">
        <v>1193</v>
      </c>
      <c r="B1754" s="349"/>
      <c r="C1754" s="349"/>
      <c r="D1754" s="349"/>
      <c r="E1754" s="349"/>
      <c r="F1754" s="349"/>
      <c r="G1754" s="17">
        <v>2.8809999999999998</v>
      </c>
      <c r="L1754" s="737"/>
    </row>
    <row r="1755" spans="1:22">
      <c r="A1755" s="340" t="s">
        <v>1194</v>
      </c>
      <c r="B1755" s="349"/>
      <c r="C1755" s="349"/>
      <c r="D1755" s="349"/>
      <c r="E1755" s="349"/>
      <c r="F1755" s="349"/>
      <c r="G1755" s="17">
        <v>3.1240000000000001</v>
      </c>
      <c r="L1755" s="737"/>
    </row>
    <row r="1756" spans="1:22">
      <c r="A1756" s="340" t="s">
        <v>1195</v>
      </c>
      <c r="B1756" s="349"/>
      <c r="C1756" s="349"/>
      <c r="D1756" s="349"/>
      <c r="E1756" s="349"/>
      <c r="F1756" s="349"/>
      <c r="G1756" s="17">
        <v>3.367</v>
      </c>
      <c r="L1756" s="737"/>
    </row>
    <row r="1757" spans="1:22">
      <c r="A1757" s="340" t="s">
        <v>1196</v>
      </c>
      <c r="B1757" s="349"/>
      <c r="C1757" s="349"/>
      <c r="D1757" s="349"/>
      <c r="E1757" s="349"/>
      <c r="F1757" s="349"/>
      <c r="G1757" s="17">
        <v>3.61</v>
      </c>
      <c r="L1757" s="737"/>
    </row>
    <row r="1758" spans="1:22">
      <c r="A1758" s="340" t="s">
        <v>1197</v>
      </c>
      <c r="B1758" s="349"/>
      <c r="C1758" s="349"/>
      <c r="D1758" s="349"/>
      <c r="E1758" s="349"/>
      <c r="F1758" s="349"/>
      <c r="G1758" s="17">
        <v>3.8530000000000002</v>
      </c>
      <c r="L1758" s="737"/>
    </row>
    <row r="1759" spans="1:22">
      <c r="A1759" s="340" t="s">
        <v>1198</v>
      </c>
      <c r="B1759" s="349"/>
      <c r="C1759" s="349"/>
      <c r="D1759" s="349"/>
      <c r="E1759" s="349"/>
      <c r="F1759" s="349"/>
      <c r="G1759" s="17">
        <v>4.048</v>
      </c>
      <c r="L1759" s="737"/>
    </row>
    <row r="1760" spans="1:22">
      <c r="A1760" s="340" t="s">
        <v>1199</v>
      </c>
      <c r="B1760" s="349"/>
      <c r="C1760" s="349"/>
      <c r="D1760" s="349"/>
      <c r="E1760" s="349"/>
      <c r="F1760" s="349"/>
      <c r="G1760" s="17">
        <v>4.34</v>
      </c>
      <c r="L1760" s="737"/>
    </row>
    <row r="1761" spans="1:22">
      <c r="A1761" s="340" t="s">
        <v>1200</v>
      </c>
      <c r="B1761" s="349"/>
      <c r="C1761" s="349"/>
      <c r="D1761" s="349"/>
      <c r="E1761" s="349"/>
      <c r="F1761" s="349"/>
      <c r="G1761" s="345">
        <v>4.59</v>
      </c>
      <c r="L1761" s="737"/>
    </row>
    <row r="1762" spans="1:22" ht="13.8" thickBot="1">
      <c r="A1762" s="340" t="s">
        <v>1201</v>
      </c>
      <c r="B1762" s="349"/>
      <c r="C1762" s="349"/>
      <c r="D1762" s="349"/>
      <c r="E1762" s="349"/>
      <c r="F1762" s="349"/>
      <c r="G1762" s="345">
        <v>4.8259999999999996</v>
      </c>
      <c r="L1762" s="737"/>
    </row>
    <row r="1763" spans="1:22" ht="25.2" thickBot="1">
      <c r="A1763" s="374" t="s">
        <v>1589</v>
      </c>
      <c r="B1763" s="366"/>
      <c r="C1763" s="366"/>
      <c r="D1763" s="366"/>
      <c r="E1763" s="366"/>
      <c r="F1763" s="366"/>
      <c r="G1763" s="106"/>
      <c r="H1763" s="95"/>
      <c r="I1763" s="95"/>
      <c r="J1763" s="95"/>
      <c r="K1763" s="95"/>
      <c r="L1763" s="99"/>
      <c r="R1763" s="22"/>
      <c r="S1763" s="22"/>
      <c r="T1763" s="20"/>
      <c r="U1763" s="20"/>
      <c r="V1763" s="20"/>
    </row>
    <row r="1764" spans="1:22">
      <c r="A1764" s="294"/>
      <c r="D1764" s="348" t="s">
        <v>1207</v>
      </c>
      <c r="L1764" s="736"/>
    </row>
    <row r="1765" spans="1:22">
      <c r="A1765" s="375" t="s">
        <v>1214</v>
      </c>
      <c r="B1765" s="365"/>
      <c r="C1765" s="377">
        <v>230</v>
      </c>
      <c r="D1765" s="369">
        <v>172</v>
      </c>
      <c r="E1765" s="349"/>
      <c r="F1765" s="349"/>
      <c r="G1765" s="2">
        <v>2.21</v>
      </c>
      <c r="L1765" s="737"/>
    </row>
    <row r="1766" spans="1:22">
      <c r="A1766" s="375" t="s">
        <v>1213</v>
      </c>
      <c r="B1766" s="365"/>
      <c r="C1766" s="377">
        <v>230</v>
      </c>
      <c r="D1766" s="369">
        <v>172</v>
      </c>
      <c r="E1766" s="349"/>
      <c r="F1766" s="349"/>
      <c r="G1766" s="2">
        <v>2.62</v>
      </c>
      <c r="L1766" s="737"/>
    </row>
    <row r="1767" spans="1:22">
      <c r="A1767" s="375" t="s">
        <v>1211</v>
      </c>
      <c r="B1767" s="365"/>
      <c r="C1767" s="377">
        <v>230</v>
      </c>
      <c r="D1767" s="369">
        <v>230</v>
      </c>
      <c r="E1767" s="349"/>
      <c r="F1767" s="349"/>
      <c r="G1767" s="2">
        <v>2.96</v>
      </c>
      <c r="L1767" s="737"/>
    </row>
    <row r="1768" spans="1:22">
      <c r="A1768" s="375" t="s">
        <v>1210</v>
      </c>
      <c r="B1768" s="365"/>
      <c r="C1768" s="377">
        <v>230</v>
      </c>
      <c r="D1768" s="369">
        <v>230</v>
      </c>
      <c r="E1768" s="349"/>
      <c r="F1768" s="349"/>
      <c r="G1768" s="2">
        <v>3.5089999999999999</v>
      </c>
      <c r="L1768" s="737"/>
    </row>
    <row r="1769" spans="1:22">
      <c r="A1769" s="375" t="s">
        <v>1209</v>
      </c>
      <c r="B1769" s="365"/>
      <c r="C1769" s="377">
        <v>250</v>
      </c>
      <c r="D1769" s="369">
        <v>187</v>
      </c>
      <c r="E1769" s="349"/>
      <c r="F1769" s="349"/>
      <c r="G1769" s="2">
        <v>2.609</v>
      </c>
      <c r="L1769" s="737"/>
    </row>
    <row r="1770" spans="1:22">
      <c r="A1770" s="375" t="s">
        <v>1215</v>
      </c>
      <c r="B1770" s="365"/>
      <c r="C1770" s="377">
        <v>250</v>
      </c>
      <c r="D1770" s="369">
        <v>187</v>
      </c>
      <c r="E1770" s="349"/>
      <c r="F1770" s="349"/>
      <c r="G1770" s="2">
        <v>3.1</v>
      </c>
      <c r="L1770" s="737"/>
    </row>
    <row r="1771" spans="1:22">
      <c r="A1771" s="375" t="s">
        <v>1208</v>
      </c>
      <c r="B1771" s="365"/>
      <c r="C1771" s="377">
        <v>250</v>
      </c>
      <c r="D1771" s="369">
        <v>250</v>
      </c>
      <c r="E1771" s="349"/>
      <c r="F1771" s="349"/>
      <c r="G1771" s="2">
        <v>3.49</v>
      </c>
      <c r="L1771" s="737"/>
    </row>
    <row r="1772" spans="1:22">
      <c r="A1772" s="375" t="s">
        <v>1212</v>
      </c>
      <c r="B1772" s="365"/>
      <c r="C1772" s="377">
        <v>250</v>
      </c>
      <c r="D1772" s="369">
        <v>250</v>
      </c>
      <c r="E1772" s="349"/>
      <c r="F1772" s="349"/>
      <c r="G1772" s="2">
        <v>4.1500000000000004</v>
      </c>
      <c r="L1772" s="737"/>
    </row>
    <row r="1773" spans="1:22">
      <c r="B1773" s="3"/>
      <c r="G1773" s="2"/>
      <c r="L1773" s="737"/>
    </row>
    <row r="1774" spans="1:22">
      <c r="A1774" s="363" t="s">
        <v>1222</v>
      </c>
      <c r="B1774" s="365"/>
      <c r="C1774" s="377">
        <v>172</v>
      </c>
      <c r="D1774" s="369">
        <v>172</v>
      </c>
      <c r="E1774" s="365"/>
      <c r="F1774" s="349"/>
      <c r="G1774" s="2">
        <v>1.57</v>
      </c>
      <c r="H1774" s="352"/>
      <c r="L1774" s="737"/>
    </row>
    <row r="1775" spans="1:22">
      <c r="A1775" s="363" t="s">
        <v>1221</v>
      </c>
      <c r="B1775" s="365"/>
      <c r="C1775" s="377">
        <v>172</v>
      </c>
      <c r="D1775" s="369">
        <v>172</v>
      </c>
      <c r="E1775" s="365"/>
      <c r="F1775" s="349"/>
      <c r="G1775" s="2">
        <v>1.87</v>
      </c>
      <c r="H1775" s="352"/>
      <c r="L1775" s="737"/>
    </row>
    <row r="1776" spans="1:22">
      <c r="A1776" s="363" t="s">
        <v>1220</v>
      </c>
      <c r="B1776" s="365"/>
      <c r="C1776" s="377">
        <v>172</v>
      </c>
      <c r="D1776" s="369">
        <v>230</v>
      </c>
      <c r="E1776" s="365"/>
      <c r="F1776" s="349"/>
      <c r="G1776" s="2">
        <v>2.1</v>
      </c>
      <c r="H1776" s="352"/>
      <c r="L1776" s="737"/>
    </row>
    <row r="1777" spans="1:12">
      <c r="A1777" s="363" t="s">
        <v>1218</v>
      </c>
      <c r="B1777" s="365"/>
      <c r="C1777" s="377">
        <v>172</v>
      </c>
      <c r="D1777" s="369">
        <v>230</v>
      </c>
      <c r="E1777" s="365"/>
      <c r="F1777" s="349"/>
      <c r="G1777" s="2">
        <v>2.496</v>
      </c>
      <c r="H1777" s="352"/>
      <c r="L1777" s="737"/>
    </row>
    <row r="1778" spans="1:12">
      <c r="A1778" s="363" t="s">
        <v>1217</v>
      </c>
      <c r="B1778" s="365"/>
      <c r="C1778" s="377">
        <v>187</v>
      </c>
      <c r="D1778" s="369">
        <v>187</v>
      </c>
      <c r="E1778" s="365"/>
      <c r="F1778" s="349"/>
      <c r="G1778" s="2">
        <v>1.855</v>
      </c>
      <c r="H1778" s="352"/>
      <c r="L1778" s="737"/>
    </row>
    <row r="1779" spans="1:12">
      <c r="A1779" s="363" t="s">
        <v>1223</v>
      </c>
      <c r="B1779" s="365"/>
      <c r="C1779" s="377">
        <v>187</v>
      </c>
      <c r="D1779" s="369">
        <v>187</v>
      </c>
      <c r="E1779" s="365"/>
      <c r="F1779" s="349"/>
      <c r="G1779" s="2">
        <v>2.2000000000000002</v>
      </c>
      <c r="H1779" s="352"/>
      <c r="L1779" s="737"/>
    </row>
    <row r="1780" spans="1:12">
      <c r="A1780" s="363" t="s">
        <v>1216</v>
      </c>
      <c r="B1780" s="365"/>
      <c r="C1780" s="377">
        <v>187</v>
      </c>
      <c r="D1780" s="369">
        <v>250</v>
      </c>
      <c r="E1780" s="365"/>
      <c r="F1780" s="349"/>
      <c r="G1780" s="2">
        <v>2.48</v>
      </c>
      <c r="H1780" s="352"/>
      <c r="L1780" s="737"/>
    </row>
    <row r="1781" spans="1:12">
      <c r="A1781" s="363" t="s">
        <v>1219</v>
      </c>
      <c r="B1781" s="365"/>
      <c r="C1781" s="377">
        <v>187</v>
      </c>
      <c r="D1781" s="369">
        <v>250</v>
      </c>
      <c r="E1781" s="365"/>
      <c r="F1781" s="349"/>
      <c r="G1781" s="2">
        <v>2.95</v>
      </c>
      <c r="H1781" s="352"/>
      <c r="L1781" s="737"/>
    </row>
    <row r="1782" spans="1:12">
      <c r="B1782" s="3"/>
      <c r="G1782" s="2"/>
      <c r="L1782" s="737"/>
    </row>
    <row r="1783" spans="1:12">
      <c r="A1783" s="368" t="s">
        <v>1224</v>
      </c>
      <c r="B1783" s="365"/>
      <c r="C1783" s="377">
        <v>230</v>
      </c>
      <c r="D1783" s="369">
        <v>172</v>
      </c>
      <c r="E1783" s="349"/>
      <c r="F1783" s="349"/>
      <c r="G1783" s="2">
        <v>2.56</v>
      </c>
      <c r="H1783" s="352"/>
      <c r="L1783" s="737"/>
    </row>
    <row r="1784" spans="1:12">
      <c r="A1784" s="368" t="s">
        <v>1227</v>
      </c>
      <c r="B1784" s="365"/>
      <c r="C1784" s="377">
        <v>230</v>
      </c>
      <c r="D1784" s="369">
        <v>230</v>
      </c>
      <c r="E1784" s="349"/>
      <c r="F1784" s="349"/>
      <c r="G1784" s="2">
        <v>2.89</v>
      </c>
      <c r="H1784" s="352"/>
      <c r="L1784" s="737"/>
    </row>
    <row r="1785" spans="1:12">
      <c r="A1785" s="368" t="s">
        <v>1226</v>
      </c>
      <c r="B1785" s="365"/>
      <c r="C1785" s="377">
        <v>230</v>
      </c>
      <c r="D1785" s="369">
        <v>230</v>
      </c>
      <c r="E1785" s="349"/>
      <c r="F1785" s="349"/>
      <c r="G1785" s="2">
        <v>3.4409999999999998</v>
      </c>
      <c r="H1785" s="352"/>
      <c r="L1785" s="737"/>
    </row>
    <row r="1786" spans="1:12">
      <c r="A1786" s="368" t="s">
        <v>1225</v>
      </c>
      <c r="B1786" s="365"/>
      <c r="C1786" s="377">
        <v>250</v>
      </c>
      <c r="D1786" s="369">
        <v>187</v>
      </c>
      <c r="E1786" s="349"/>
      <c r="F1786" s="349"/>
      <c r="G1786" s="2">
        <v>2.5499999999999998</v>
      </c>
      <c r="H1786" s="352"/>
      <c r="L1786" s="737"/>
    </row>
    <row r="1787" spans="1:12">
      <c r="A1787" s="368" t="s">
        <v>1229</v>
      </c>
      <c r="B1787" s="365"/>
      <c r="C1787" s="377">
        <v>250</v>
      </c>
      <c r="D1787" s="369">
        <v>187</v>
      </c>
      <c r="E1787" s="349"/>
      <c r="F1787" s="349"/>
      <c r="G1787" s="2">
        <v>3.04</v>
      </c>
      <c r="H1787" s="352"/>
      <c r="L1787" s="737"/>
    </row>
    <row r="1788" spans="1:12">
      <c r="A1788" s="368" t="s">
        <v>1202</v>
      </c>
      <c r="B1788" s="365"/>
      <c r="C1788" s="377">
        <v>250</v>
      </c>
      <c r="D1788" s="369">
        <v>250</v>
      </c>
      <c r="E1788" s="349"/>
      <c r="F1788" s="349"/>
      <c r="G1788" s="2">
        <v>3.42</v>
      </c>
      <c r="H1788" s="352"/>
      <c r="L1788" s="737"/>
    </row>
    <row r="1789" spans="1:12">
      <c r="A1789" s="368" t="s">
        <v>1228</v>
      </c>
      <c r="B1789" s="365"/>
      <c r="C1789" s="377">
        <v>250</v>
      </c>
      <c r="D1789" s="369">
        <v>250</v>
      </c>
      <c r="E1789" s="349"/>
      <c r="F1789" s="349"/>
      <c r="G1789" s="2">
        <v>4.07</v>
      </c>
      <c r="H1789" s="352"/>
      <c r="L1789" s="737"/>
    </row>
    <row r="1790" spans="1:12">
      <c r="B1790" s="3"/>
      <c r="G1790" s="2"/>
      <c r="L1790" s="737"/>
    </row>
    <row r="1791" spans="1:12">
      <c r="A1791" s="364" t="s">
        <v>1230</v>
      </c>
      <c r="B1791" s="365"/>
      <c r="C1791" s="377">
        <v>172</v>
      </c>
      <c r="D1791" s="369">
        <v>172</v>
      </c>
      <c r="E1791" s="365"/>
      <c r="F1791" s="349"/>
      <c r="G1791" s="2">
        <v>1.8</v>
      </c>
      <c r="H1791" s="352"/>
      <c r="L1791" s="737"/>
    </row>
    <row r="1792" spans="1:12">
      <c r="A1792" s="364" t="s">
        <v>1235</v>
      </c>
      <c r="B1792" s="365"/>
      <c r="C1792" s="377">
        <v>172</v>
      </c>
      <c r="D1792" s="369">
        <v>230</v>
      </c>
      <c r="E1792" s="365"/>
      <c r="F1792" s="349"/>
      <c r="G1792" s="2">
        <v>2.0299999999999998</v>
      </c>
      <c r="H1792" s="352"/>
      <c r="L1792" s="737"/>
    </row>
    <row r="1793" spans="1:12">
      <c r="A1793" s="364" t="s">
        <v>1232</v>
      </c>
      <c r="B1793" s="365"/>
      <c r="C1793" s="377">
        <v>172</v>
      </c>
      <c r="D1793" s="369">
        <v>230</v>
      </c>
      <c r="E1793" s="365"/>
      <c r="F1793" s="349"/>
      <c r="G1793" s="2">
        <v>2.4279999999999999</v>
      </c>
      <c r="H1793" s="352"/>
      <c r="L1793" s="737"/>
    </row>
    <row r="1794" spans="1:12">
      <c r="A1794" s="364" t="s">
        <v>1231</v>
      </c>
      <c r="B1794" s="365"/>
      <c r="C1794" s="377">
        <v>187</v>
      </c>
      <c r="D1794" s="369">
        <v>187</v>
      </c>
      <c r="E1794" s="365"/>
      <c r="F1794" s="349"/>
      <c r="G1794" s="2">
        <v>1.79</v>
      </c>
      <c r="H1794" s="352"/>
      <c r="L1794" s="737"/>
    </row>
    <row r="1795" spans="1:12">
      <c r="A1795" s="364" t="s">
        <v>1234</v>
      </c>
      <c r="B1795" s="365"/>
      <c r="C1795" s="377">
        <v>187</v>
      </c>
      <c r="D1795" s="369">
        <v>187</v>
      </c>
      <c r="E1795" s="365"/>
      <c r="F1795" s="349"/>
      <c r="G1795" s="2">
        <v>2.14</v>
      </c>
      <c r="H1795" s="352"/>
      <c r="L1795" s="737"/>
    </row>
    <row r="1796" spans="1:12">
      <c r="A1796" s="364" t="s">
        <v>1203</v>
      </c>
      <c r="B1796" s="365"/>
      <c r="C1796" s="377">
        <v>187</v>
      </c>
      <c r="D1796" s="369">
        <v>250</v>
      </c>
      <c r="E1796" s="365"/>
      <c r="F1796" s="349"/>
      <c r="G1796" s="2">
        <v>2.41</v>
      </c>
      <c r="H1796" s="352"/>
      <c r="L1796" s="737"/>
    </row>
    <row r="1797" spans="1:12">
      <c r="A1797" s="364" t="s">
        <v>1233</v>
      </c>
      <c r="B1797" s="365"/>
      <c r="C1797" s="377">
        <v>187</v>
      </c>
      <c r="D1797" s="369">
        <v>250</v>
      </c>
      <c r="E1797" s="365"/>
      <c r="F1797" s="349"/>
      <c r="G1797" s="2">
        <v>2.89</v>
      </c>
      <c r="H1797" s="352"/>
      <c r="L1797" s="737"/>
    </row>
    <row r="1798" spans="1:12">
      <c r="B1798" s="3"/>
      <c r="G1798" s="2"/>
      <c r="L1798" s="737"/>
    </row>
    <row r="1799" spans="1:12">
      <c r="A1799" s="370" t="s">
        <v>1243</v>
      </c>
      <c r="B1799" s="365"/>
      <c r="C1799" s="377">
        <v>230</v>
      </c>
      <c r="D1799" s="369">
        <v>172</v>
      </c>
      <c r="E1799" s="349"/>
      <c r="F1799" s="349"/>
      <c r="G1799" s="2">
        <v>2.4700000000000002</v>
      </c>
      <c r="L1799" s="737"/>
    </row>
    <row r="1800" spans="1:12">
      <c r="A1800" s="370" t="s">
        <v>1244</v>
      </c>
      <c r="B1800" s="365"/>
      <c r="C1800" s="377">
        <v>230</v>
      </c>
      <c r="D1800" s="369">
        <v>172</v>
      </c>
      <c r="E1800" s="349"/>
      <c r="F1800" s="349"/>
      <c r="G1800" s="2">
        <v>2.94</v>
      </c>
      <c r="L1800" s="737"/>
    </row>
    <row r="1801" spans="1:12">
      <c r="A1801" s="370" t="s">
        <v>1267</v>
      </c>
      <c r="B1801" s="365"/>
      <c r="C1801" s="377">
        <v>230</v>
      </c>
      <c r="D1801" s="369">
        <v>230</v>
      </c>
      <c r="E1801" s="349"/>
      <c r="F1801" s="349"/>
      <c r="G1801" s="2">
        <v>3.32</v>
      </c>
      <c r="L1801" s="737"/>
    </row>
    <row r="1802" spans="1:12">
      <c r="A1802" s="370" t="s">
        <v>1268</v>
      </c>
      <c r="B1802" s="365"/>
      <c r="C1802" s="377">
        <v>230</v>
      </c>
      <c r="D1802" s="369">
        <v>230</v>
      </c>
      <c r="E1802" s="349"/>
      <c r="F1802" s="349"/>
      <c r="G1802" s="2">
        <v>3.95</v>
      </c>
      <c r="L1802" s="737"/>
    </row>
    <row r="1803" spans="1:12">
      <c r="A1803" s="370" t="s">
        <v>1237</v>
      </c>
      <c r="B1803" s="365"/>
      <c r="C1803" s="377">
        <v>230</v>
      </c>
      <c r="D1803" s="369">
        <v>114</v>
      </c>
      <c r="E1803" s="349"/>
      <c r="F1803" s="349"/>
      <c r="G1803" s="2">
        <v>1.62</v>
      </c>
      <c r="L1803" s="737"/>
    </row>
    <row r="1804" spans="1:12">
      <c r="A1804" s="370" t="s">
        <v>1242</v>
      </c>
      <c r="B1804" s="365"/>
      <c r="C1804" s="377">
        <v>230</v>
      </c>
      <c r="D1804" s="369">
        <v>114</v>
      </c>
      <c r="E1804" s="349"/>
      <c r="F1804" s="349"/>
      <c r="G1804" s="2">
        <v>1.9339999999999999</v>
      </c>
      <c r="L1804" s="737"/>
    </row>
    <row r="1805" spans="1:12">
      <c r="A1805" s="370" t="s">
        <v>1240</v>
      </c>
      <c r="B1805" s="365"/>
      <c r="C1805" s="377">
        <v>250</v>
      </c>
      <c r="D1805" s="369">
        <v>187</v>
      </c>
      <c r="E1805" s="349"/>
      <c r="F1805" s="349"/>
      <c r="G1805" s="2">
        <v>2.93</v>
      </c>
      <c r="L1805" s="737"/>
    </row>
    <row r="1806" spans="1:12">
      <c r="A1806" s="370" t="s">
        <v>1241</v>
      </c>
      <c r="B1806" s="365"/>
      <c r="C1806" s="377">
        <v>250</v>
      </c>
      <c r="D1806" s="369">
        <v>187</v>
      </c>
      <c r="E1806" s="349"/>
      <c r="F1806" s="349"/>
      <c r="G1806" s="2">
        <v>3.49</v>
      </c>
      <c r="L1806" s="737"/>
    </row>
    <row r="1807" spans="1:12">
      <c r="A1807" s="370" t="s">
        <v>1269</v>
      </c>
      <c r="B1807" s="365"/>
      <c r="C1807" s="377">
        <v>250</v>
      </c>
      <c r="D1807" s="369">
        <v>250</v>
      </c>
      <c r="E1807" s="349"/>
      <c r="F1807" s="349"/>
      <c r="G1807" s="2">
        <v>3.93</v>
      </c>
      <c r="L1807" s="737"/>
    </row>
    <row r="1808" spans="1:12">
      <c r="A1808" s="370" t="s">
        <v>1270</v>
      </c>
      <c r="B1808" s="365"/>
      <c r="C1808" s="377">
        <v>250</v>
      </c>
      <c r="D1808" s="369">
        <v>250</v>
      </c>
      <c r="E1808" s="349"/>
      <c r="F1808" s="349"/>
      <c r="G1808" s="2">
        <v>4.68</v>
      </c>
      <c r="L1808" s="737"/>
    </row>
    <row r="1809" spans="1:12">
      <c r="A1809" s="370" t="s">
        <v>1271</v>
      </c>
      <c r="B1809" s="365"/>
      <c r="C1809" s="377">
        <v>300</v>
      </c>
      <c r="D1809" s="369">
        <v>300</v>
      </c>
      <c r="E1809" s="349"/>
      <c r="F1809" s="349"/>
      <c r="G1809" s="2">
        <v>6.76</v>
      </c>
      <c r="L1809" s="737"/>
    </row>
    <row r="1810" spans="1:12">
      <c r="A1810" s="370" t="s">
        <v>1239</v>
      </c>
      <c r="B1810" s="365"/>
      <c r="C1810" s="377">
        <v>300</v>
      </c>
      <c r="D1810" s="369">
        <v>150</v>
      </c>
      <c r="E1810" s="349"/>
      <c r="F1810" s="349"/>
      <c r="G1810" s="2">
        <v>2.82</v>
      </c>
      <c r="L1810" s="737"/>
    </row>
    <row r="1811" spans="1:12">
      <c r="A1811" s="370" t="s">
        <v>1236</v>
      </c>
      <c r="B1811" s="365"/>
      <c r="C1811" s="377">
        <v>300</v>
      </c>
      <c r="D1811" s="369">
        <v>150</v>
      </c>
      <c r="E1811" s="349"/>
      <c r="F1811" s="349"/>
      <c r="G1811" s="2">
        <v>3.36</v>
      </c>
      <c r="L1811" s="737"/>
    </row>
    <row r="1812" spans="1:12">
      <c r="A1812" s="370" t="s">
        <v>1204</v>
      </c>
      <c r="B1812" s="365"/>
      <c r="C1812" s="377">
        <v>250</v>
      </c>
      <c r="D1812" s="369">
        <v>124</v>
      </c>
      <c r="E1812" s="349"/>
      <c r="F1812" s="349"/>
      <c r="G1812" s="2">
        <v>1.92</v>
      </c>
      <c r="L1812" s="737"/>
    </row>
    <row r="1813" spans="1:12">
      <c r="A1813" s="370" t="s">
        <v>1238</v>
      </c>
      <c r="B1813" s="365"/>
      <c r="C1813" s="377">
        <v>250</v>
      </c>
      <c r="D1813" s="369">
        <v>124</v>
      </c>
      <c r="E1813" s="349"/>
      <c r="F1813" s="349"/>
      <c r="G1813" s="2">
        <v>2.29</v>
      </c>
      <c r="L1813" s="737"/>
    </row>
    <row r="1814" spans="1:12">
      <c r="B1814" s="3"/>
      <c r="G1814" s="2"/>
      <c r="L1814" s="737"/>
    </row>
    <row r="1815" spans="1:12">
      <c r="A1815" s="375" t="s">
        <v>1249</v>
      </c>
      <c r="B1815" s="365"/>
      <c r="C1815" s="377">
        <v>172</v>
      </c>
      <c r="D1815" s="369">
        <v>114</v>
      </c>
      <c r="E1815" s="349"/>
      <c r="F1815" s="349"/>
      <c r="G1815" s="2">
        <v>1.04</v>
      </c>
      <c r="L1815" s="737"/>
    </row>
    <row r="1816" spans="1:12">
      <c r="A1816" s="375" t="s">
        <v>1248</v>
      </c>
      <c r="B1816" s="365"/>
      <c r="C1816" s="377">
        <v>172</v>
      </c>
      <c r="D1816" s="369">
        <v>114</v>
      </c>
      <c r="E1816" s="349"/>
      <c r="F1816" s="349"/>
      <c r="G1816" s="2">
        <v>1.2350000000000001</v>
      </c>
      <c r="L1816" s="737"/>
    </row>
    <row r="1817" spans="1:12">
      <c r="A1817" s="375" t="s">
        <v>1246</v>
      </c>
      <c r="B1817" s="365"/>
      <c r="C1817" s="377">
        <v>225</v>
      </c>
      <c r="D1817" s="369">
        <v>150</v>
      </c>
      <c r="E1817" s="349"/>
      <c r="F1817" s="349"/>
      <c r="G1817" s="2">
        <v>1.8</v>
      </c>
      <c r="L1817" s="737"/>
    </row>
    <row r="1818" spans="1:12">
      <c r="A1818" s="375" t="s">
        <v>1250</v>
      </c>
      <c r="B1818" s="365"/>
      <c r="C1818" s="377">
        <v>225</v>
      </c>
      <c r="D1818" s="369">
        <v>150</v>
      </c>
      <c r="E1818" s="349"/>
      <c r="F1818" s="349"/>
      <c r="G1818" s="2">
        <v>2.13</v>
      </c>
      <c r="L1818" s="737"/>
    </row>
    <row r="1819" spans="1:12">
      <c r="A1819" s="375" t="s">
        <v>1247</v>
      </c>
      <c r="B1819" s="365"/>
      <c r="C1819" s="377">
        <v>187</v>
      </c>
      <c r="D1819" s="369">
        <v>124</v>
      </c>
      <c r="E1819" s="349"/>
      <c r="F1819" s="349"/>
      <c r="G1819" s="2">
        <v>1.23</v>
      </c>
      <c r="L1819" s="737"/>
    </row>
    <row r="1820" spans="1:12">
      <c r="A1820" s="375" t="s">
        <v>1245</v>
      </c>
      <c r="B1820" s="365"/>
      <c r="C1820" s="377">
        <v>187</v>
      </c>
      <c r="D1820" s="369">
        <v>124</v>
      </c>
      <c r="E1820" s="349"/>
      <c r="F1820" s="349"/>
      <c r="G1820" s="2">
        <v>1.46</v>
      </c>
      <c r="L1820" s="737"/>
    </row>
    <row r="1821" spans="1:12">
      <c r="B1821" s="3"/>
      <c r="G1821" s="2"/>
      <c r="L1821" s="737"/>
    </row>
    <row r="1822" spans="1:12">
      <c r="A1822" s="363" t="s">
        <v>1255</v>
      </c>
      <c r="B1822" s="365"/>
      <c r="C1822" s="377">
        <v>230</v>
      </c>
      <c r="D1822" s="369">
        <v>114</v>
      </c>
      <c r="E1822" s="349"/>
      <c r="F1822" s="349"/>
      <c r="G1822" s="2">
        <v>1.46</v>
      </c>
      <c r="L1822" s="737"/>
    </row>
    <row r="1823" spans="1:12">
      <c r="A1823" s="363" t="s">
        <v>1254</v>
      </c>
      <c r="B1823" s="365"/>
      <c r="C1823" s="377">
        <v>230</v>
      </c>
      <c r="D1823" s="369">
        <v>114</v>
      </c>
      <c r="E1823" s="349"/>
      <c r="F1823" s="349"/>
      <c r="G1823" s="2">
        <v>1.7370000000000001</v>
      </c>
      <c r="L1823" s="737"/>
    </row>
    <row r="1824" spans="1:12">
      <c r="A1824" s="363" t="s">
        <v>1253</v>
      </c>
      <c r="B1824" s="365"/>
      <c r="C1824" s="377">
        <v>300</v>
      </c>
      <c r="D1824" s="369">
        <v>150</v>
      </c>
      <c r="E1824" s="349"/>
      <c r="F1824" s="349"/>
      <c r="G1824" s="2">
        <v>2.52</v>
      </c>
      <c r="L1824" s="737"/>
    </row>
    <row r="1825" spans="1:12">
      <c r="A1825" s="363" t="s">
        <v>1256</v>
      </c>
      <c r="B1825" s="365"/>
      <c r="C1825" s="377">
        <v>300</v>
      </c>
      <c r="D1825" s="369">
        <v>150</v>
      </c>
      <c r="E1825" s="349"/>
      <c r="F1825" s="349"/>
      <c r="G1825" s="2">
        <v>2.99</v>
      </c>
      <c r="L1825" s="737"/>
    </row>
    <row r="1826" spans="1:12">
      <c r="A1826" s="363" t="s">
        <v>1251</v>
      </c>
      <c r="B1826" s="365"/>
      <c r="C1826" s="377">
        <v>250</v>
      </c>
      <c r="D1826" s="369">
        <v>124</v>
      </c>
      <c r="E1826" s="349"/>
      <c r="F1826" s="349"/>
      <c r="G1826" s="2">
        <v>1.73</v>
      </c>
      <c r="L1826" s="737"/>
    </row>
    <row r="1827" spans="1:12">
      <c r="A1827" s="363" t="s">
        <v>1252</v>
      </c>
      <c r="B1827" s="365"/>
      <c r="C1827" s="377">
        <v>250</v>
      </c>
      <c r="D1827" s="369">
        <v>124</v>
      </c>
      <c r="E1827" s="349"/>
      <c r="F1827" s="349"/>
      <c r="G1827" s="2">
        <v>2.0499999999999998</v>
      </c>
      <c r="L1827" s="737"/>
    </row>
    <row r="1828" spans="1:12">
      <c r="B1828" s="3"/>
      <c r="G1828" s="2"/>
      <c r="L1828" s="737"/>
    </row>
    <row r="1829" spans="1:12">
      <c r="A1829" s="368" t="s">
        <v>1260</v>
      </c>
      <c r="B1829" s="365"/>
      <c r="C1829" s="377">
        <v>172</v>
      </c>
      <c r="D1829" s="369">
        <v>114</v>
      </c>
      <c r="E1829" s="349"/>
      <c r="F1829" s="349"/>
      <c r="G1829" s="2">
        <v>0.98</v>
      </c>
      <c r="L1829" s="737"/>
    </row>
    <row r="1830" spans="1:12">
      <c r="A1830" s="368" t="s">
        <v>1259</v>
      </c>
      <c r="B1830" s="365"/>
      <c r="C1830" s="377">
        <v>172</v>
      </c>
      <c r="D1830" s="369">
        <v>114</v>
      </c>
      <c r="E1830" s="349"/>
      <c r="F1830" s="349"/>
      <c r="G1830" s="2">
        <v>0.98199999999999998</v>
      </c>
      <c r="L1830" s="737"/>
    </row>
    <row r="1831" spans="1:12">
      <c r="A1831" s="368" t="s">
        <v>1258</v>
      </c>
      <c r="B1831" s="365"/>
      <c r="C1831" s="377">
        <v>225</v>
      </c>
      <c r="D1831" s="369">
        <v>150</v>
      </c>
      <c r="E1831" s="349"/>
      <c r="F1831" s="349"/>
      <c r="G1831" s="2">
        <v>1.73</v>
      </c>
      <c r="L1831" s="737"/>
    </row>
    <row r="1832" spans="1:12">
      <c r="A1832" s="368" t="s">
        <v>1261</v>
      </c>
      <c r="B1832" s="365"/>
      <c r="C1832" s="377">
        <v>225</v>
      </c>
      <c r="D1832" s="369">
        <v>150</v>
      </c>
      <c r="E1832" s="349"/>
      <c r="F1832" s="349"/>
      <c r="G1832" s="2">
        <v>2.0699999999999998</v>
      </c>
      <c r="L1832" s="737"/>
    </row>
    <row r="1833" spans="1:12">
      <c r="A1833" s="368" t="s">
        <v>1205</v>
      </c>
      <c r="B1833" s="365"/>
      <c r="C1833" s="377">
        <v>187</v>
      </c>
      <c r="D1833" s="369">
        <v>124</v>
      </c>
      <c r="E1833" s="349"/>
      <c r="F1833" s="349"/>
      <c r="G1833" s="2">
        <v>1.17</v>
      </c>
      <c r="L1833" s="737"/>
    </row>
    <row r="1834" spans="1:12">
      <c r="A1834" s="368" t="s">
        <v>1257</v>
      </c>
      <c r="B1834" s="365"/>
      <c r="C1834" s="377">
        <v>187</v>
      </c>
      <c r="D1834" s="369">
        <v>124</v>
      </c>
      <c r="E1834" s="349"/>
      <c r="F1834" s="349"/>
      <c r="G1834" s="2">
        <v>1.4</v>
      </c>
      <c r="L1834" s="737"/>
    </row>
    <row r="1835" spans="1:12">
      <c r="B1835" s="3"/>
      <c r="G1835" s="2"/>
      <c r="L1835" s="737"/>
    </row>
    <row r="1836" spans="1:12">
      <c r="A1836" s="364" t="s">
        <v>1262</v>
      </c>
      <c r="B1836" s="365"/>
      <c r="C1836" s="377">
        <v>230</v>
      </c>
      <c r="D1836" s="369">
        <v>114</v>
      </c>
      <c r="E1836" s="349"/>
      <c r="F1836" s="349"/>
      <c r="G1836" s="2">
        <v>1.4</v>
      </c>
      <c r="L1836" s="737"/>
    </row>
    <row r="1837" spans="1:12">
      <c r="A1837" s="364" t="s">
        <v>1265</v>
      </c>
      <c r="B1837" s="365"/>
      <c r="C1837" s="377">
        <v>230</v>
      </c>
      <c r="D1837" s="369">
        <v>114</v>
      </c>
      <c r="E1837" s="349"/>
      <c r="F1837" s="349"/>
      <c r="G1837" s="2">
        <v>1.679</v>
      </c>
      <c r="L1837" s="737"/>
    </row>
    <row r="1838" spans="1:12">
      <c r="A1838" s="364" t="s">
        <v>1264</v>
      </c>
      <c r="B1838" s="365"/>
      <c r="C1838" s="377">
        <v>300</v>
      </c>
      <c r="D1838" s="369">
        <v>150</v>
      </c>
      <c r="E1838" s="349"/>
      <c r="F1838" s="349"/>
      <c r="G1838" s="2">
        <v>2.4500000000000002</v>
      </c>
      <c r="L1838" s="737"/>
    </row>
    <row r="1839" spans="1:12">
      <c r="A1839" s="364" t="s">
        <v>1266</v>
      </c>
      <c r="B1839" s="365"/>
      <c r="C1839" s="377">
        <v>300</v>
      </c>
      <c r="D1839" s="369">
        <v>150</v>
      </c>
      <c r="E1839" s="349"/>
      <c r="F1839" s="349"/>
      <c r="G1839" s="2">
        <v>2.92</v>
      </c>
      <c r="L1839" s="737"/>
    </row>
    <row r="1840" spans="1:12">
      <c r="A1840" s="364" t="s">
        <v>1206</v>
      </c>
      <c r="B1840" s="365"/>
      <c r="C1840" s="377">
        <v>250</v>
      </c>
      <c r="D1840" s="369">
        <v>124</v>
      </c>
      <c r="E1840" s="349"/>
      <c r="F1840" s="349"/>
      <c r="G1840" s="2">
        <v>1.67</v>
      </c>
      <c r="L1840" s="737"/>
    </row>
    <row r="1841" spans="1:22">
      <c r="A1841" s="364" t="s">
        <v>1263</v>
      </c>
      <c r="B1841" s="365"/>
      <c r="C1841" s="377">
        <v>250</v>
      </c>
      <c r="D1841" s="369">
        <v>124</v>
      </c>
      <c r="E1841" s="349"/>
      <c r="F1841" s="349"/>
      <c r="G1841" s="2">
        <v>1.99</v>
      </c>
      <c r="L1841" s="737"/>
    </row>
    <row r="1842" spans="1:22" ht="13.8" thickBot="1">
      <c r="L1842" s="737"/>
    </row>
    <row r="1843" spans="1:22" ht="25.2" thickBot="1">
      <c r="A1843" s="374" t="s">
        <v>2298</v>
      </c>
      <c r="B1843" s="366"/>
      <c r="C1843" s="366"/>
      <c r="D1843" s="366"/>
      <c r="E1843" s="366"/>
      <c r="F1843" s="366"/>
      <c r="G1843" s="106"/>
      <c r="H1843" s="95"/>
      <c r="I1843" s="95"/>
      <c r="J1843" s="95"/>
      <c r="K1843" s="95"/>
      <c r="L1843" s="99"/>
      <c r="R1843" s="22"/>
      <c r="S1843" s="22"/>
      <c r="T1843" s="20"/>
      <c r="U1843" s="20"/>
      <c r="V1843" s="20"/>
    </row>
    <row r="1844" spans="1:22" s="294" customFormat="1">
      <c r="A1844" s="293" t="s">
        <v>1998</v>
      </c>
      <c r="B1844" s="2" t="s">
        <v>1999</v>
      </c>
      <c r="C1844" s="2">
        <v>228.6</v>
      </c>
      <c r="D1844" s="2">
        <v>100</v>
      </c>
      <c r="E1844" s="2">
        <v>152.4</v>
      </c>
      <c r="F1844" s="2">
        <v>139.69999999999999</v>
      </c>
      <c r="G1844" s="21">
        <f t="shared" ref="G1844:G1882" si="163">IF(B1844="","",AVERAGE(E1844:F1844)*D1844*C1844/10^6)</f>
        <v>3.3387030000000006</v>
      </c>
      <c r="H1844" s="20">
        <f t="shared" ref="H1844:H1846" si="164">ROUND(C1844*E1844*F1844/10^6,3)</f>
        <v>4.867</v>
      </c>
      <c r="I1844" s="20">
        <f t="shared" ref="I1844:I1846" si="165">IF(D1844="","-",ROUND((F1844+D1844)*C1844/2*E1844/10^6,3))</f>
        <v>4.1749999999999998</v>
      </c>
      <c r="J1844" s="75">
        <f t="shared" ref="J1844:J1846" si="166">IF(D1844="","-",ROUND((E1844+F1844)*C1844/2*D1844/10^6,3))</f>
        <v>3.339</v>
      </c>
      <c r="L1844" s="20"/>
      <c r="M1844" s="20"/>
      <c r="N1844" s="20"/>
      <c r="O1844" s="20"/>
      <c r="P1844" s="20"/>
      <c r="Q1844" s="21"/>
      <c r="R1844" s="22" t="s">
        <v>16</v>
      </c>
      <c r="S1844" s="22">
        <v>2</v>
      </c>
      <c r="T1844" s="20">
        <f t="shared" ref="T1844:T1846" si="167">(E1844+U1844)/2/(SIN(RADIANS((ATAN(((E1844+U1844)-(F1844+U1844))/2/C1844)*180/PI()))))*2</f>
        <v>5488.5162585164971</v>
      </c>
      <c r="U1844" s="22">
        <f>U1839</f>
        <v>0</v>
      </c>
      <c r="V1844" s="20" t="str">
        <f t="shared" ref="V1844:V1846" si="168">B1844&amp;"-"&amp;C1844&amp;"x"&amp;E1844&amp;"x"&amp;D1844</f>
        <v>RE-228,6x152,4x100</v>
      </c>
    </row>
    <row r="1845" spans="1:22" s="294" customFormat="1">
      <c r="A1845" s="293" t="s">
        <v>2000</v>
      </c>
      <c r="B1845" s="2" t="s">
        <v>1999</v>
      </c>
      <c r="C1845" s="2">
        <v>228.6</v>
      </c>
      <c r="D1845" s="2">
        <v>100</v>
      </c>
      <c r="E1845" s="2">
        <v>152.4</v>
      </c>
      <c r="F1845" s="2">
        <v>114.3</v>
      </c>
      <c r="G1845" s="21">
        <f t="shared" si="163"/>
        <v>3.048381</v>
      </c>
      <c r="H1845" s="20">
        <f t="shared" si="164"/>
        <v>3.9820000000000002</v>
      </c>
      <c r="I1845" s="20">
        <f t="shared" si="165"/>
        <v>3.7330000000000001</v>
      </c>
      <c r="J1845" s="75">
        <f t="shared" si="166"/>
        <v>3.048</v>
      </c>
      <c r="L1845" s="20"/>
      <c r="M1845" s="20"/>
      <c r="N1845" s="20"/>
      <c r="O1845" s="20"/>
      <c r="P1845" s="20"/>
      <c r="Q1845" s="21"/>
      <c r="R1845" s="22" t="s">
        <v>16</v>
      </c>
      <c r="S1845" s="22">
        <v>2</v>
      </c>
      <c r="T1845" s="20">
        <f t="shared" si="167"/>
        <v>1835.1390138079453</v>
      </c>
      <c r="U1845" s="22">
        <f>U1838</f>
        <v>0</v>
      </c>
      <c r="V1845" s="20" t="str">
        <f t="shared" si="168"/>
        <v>RE-228,6x152,4x100</v>
      </c>
    </row>
    <row r="1846" spans="1:22" s="294" customFormat="1">
      <c r="A1846" s="293" t="s">
        <v>2001</v>
      </c>
      <c r="B1846" s="2" t="s">
        <v>1999</v>
      </c>
      <c r="C1846" s="2">
        <v>228.6</v>
      </c>
      <c r="D1846" s="2">
        <v>100</v>
      </c>
      <c r="E1846" s="2">
        <v>152.4</v>
      </c>
      <c r="F1846" s="2">
        <v>76.2</v>
      </c>
      <c r="G1846" s="21">
        <f t="shared" si="163"/>
        <v>2.6128980000000004</v>
      </c>
      <c r="H1846" s="20">
        <f t="shared" si="164"/>
        <v>2.6549999999999998</v>
      </c>
      <c r="I1846" s="20">
        <f t="shared" si="165"/>
        <v>3.069</v>
      </c>
      <c r="J1846" s="75">
        <f t="shared" si="166"/>
        <v>2.613</v>
      </c>
      <c r="L1846" s="20"/>
      <c r="M1846" s="20"/>
      <c r="N1846" s="20"/>
      <c r="O1846" s="20"/>
      <c r="P1846" s="20"/>
      <c r="Q1846" s="21"/>
      <c r="R1846" s="22" t="s">
        <v>16</v>
      </c>
      <c r="S1846" s="22">
        <v>2</v>
      </c>
      <c r="T1846" s="20">
        <f t="shared" si="167"/>
        <v>927.01300961744869</v>
      </c>
      <c r="U1846" s="22">
        <f>U1839</f>
        <v>0</v>
      </c>
      <c r="V1846" s="20" t="str">
        <f t="shared" si="168"/>
        <v>RE-228,6x152,4x100</v>
      </c>
    </row>
    <row r="1847" spans="1:22" s="294" customFormat="1">
      <c r="B1847" s="2"/>
      <c r="C1847" s="2"/>
      <c r="D1847" s="2"/>
      <c r="E1847" s="2"/>
      <c r="F1847" s="2"/>
      <c r="G1847" s="345"/>
      <c r="Q1847" s="541"/>
      <c r="R1847" s="2"/>
    </row>
    <row r="1848" spans="1:22" s="294" customFormat="1">
      <c r="A1848" s="293" t="s">
        <v>2002</v>
      </c>
      <c r="B1848" s="2" t="s">
        <v>1999</v>
      </c>
      <c r="C1848" s="2">
        <v>304.8</v>
      </c>
      <c r="D1848" s="2">
        <v>100</v>
      </c>
      <c r="E1848" s="2">
        <v>152.4</v>
      </c>
      <c r="F1848" s="2">
        <v>139.69999999999999</v>
      </c>
      <c r="G1848" s="21">
        <f t="shared" si="163"/>
        <v>4.4516040000000006</v>
      </c>
      <c r="H1848" s="20">
        <f t="shared" ref="H1848:H1882" si="169">ROUND(C1848*E1848*F1848/10^6,3)</f>
        <v>6.4889999999999999</v>
      </c>
      <c r="I1848" s="20">
        <f t="shared" ref="I1848:I1882" si="170">IF(D1848="","-",ROUND((F1848+D1848)*C1848/2*E1848/10^6,3))</f>
        <v>5.5670000000000002</v>
      </c>
      <c r="J1848" s="75">
        <f t="shared" ref="J1848:J1882" si="171">IF(D1848="","-",ROUND((E1848+F1848)*C1848/2*D1848/10^6,3))</f>
        <v>4.452</v>
      </c>
      <c r="L1848" s="20"/>
      <c r="M1848" s="20"/>
      <c r="N1848" s="20"/>
      <c r="O1848" s="20"/>
      <c r="P1848" s="20"/>
      <c r="Q1848" s="21"/>
      <c r="R1848" s="22" t="s">
        <v>16</v>
      </c>
      <c r="S1848" s="22">
        <v>2</v>
      </c>
      <c r="T1848" s="20">
        <f t="shared" ref="T1848:T1882" si="172">(E1848+U1848)/2/(SIN(RADIANS((ATAN(((E1848+U1848)-(F1848+U1848))/2/C1848)*180/PI()))))*2</f>
        <v>7316.7873277825884</v>
      </c>
      <c r="U1848" s="22">
        <f>U1844</f>
        <v>0</v>
      </c>
      <c r="V1848" s="20" t="str">
        <f t="shared" ref="V1848:V1882" si="173">B1848&amp;"-"&amp;C1848&amp;"x"&amp;E1848&amp;"x"&amp;D1848</f>
        <v>RE-304,8x152,4x100</v>
      </c>
    </row>
    <row r="1849" spans="1:22" s="294" customFormat="1">
      <c r="A1849" s="293" t="s">
        <v>2003</v>
      </c>
      <c r="B1849" s="2" t="s">
        <v>1999</v>
      </c>
      <c r="C1849" s="2">
        <v>304.8</v>
      </c>
      <c r="D1849" s="2">
        <v>100</v>
      </c>
      <c r="E1849" s="2">
        <v>152.4</v>
      </c>
      <c r="F1849" s="2">
        <v>127</v>
      </c>
      <c r="G1849" s="21">
        <f t="shared" si="163"/>
        <v>4.2580559999999998</v>
      </c>
      <c r="H1849" s="20">
        <f t="shared" si="169"/>
        <v>5.899</v>
      </c>
      <c r="I1849" s="20">
        <f t="shared" si="170"/>
        <v>5.2720000000000002</v>
      </c>
      <c r="J1849" s="75">
        <f t="shared" si="171"/>
        <v>4.258</v>
      </c>
      <c r="L1849" s="20"/>
      <c r="M1849" s="20"/>
      <c r="N1849" s="20"/>
      <c r="O1849" s="20"/>
      <c r="P1849" s="20"/>
      <c r="Q1849" s="21"/>
      <c r="R1849" s="22" t="s">
        <v>16</v>
      </c>
      <c r="S1849" s="22">
        <v>2</v>
      </c>
      <c r="T1849" s="20">
        <f t="shared" si="172"/>
        <v>3660.7736231567228</v>
      </c>
      <c r="U1849" s="22">
        <f>U1846</f>
        <v>0</v>
      </c>
      <c r="V1849" s="20" t="str">
        <f t="shared" si="173"/>
        <v>RE-304,8x152,4x100</v>
      </c>
    </row>
    <row r="1850" spans="1:22" s="294" customFormat="1">
      <c r="A1850" s="293" t="s">
        <v>2004</v>
      </c>
      <c r="B1850" s="2" t="s">
        <v>1999</v>
      </c>
      <c r="C1850" s="2">
        <v>304.8</v>
      </c>
      <c r="D1850" s="2">
        <v>100</v>
      </c>
      <c r="E1850" s="2">
        <v>152.4</v>
      </c>
      <c r="F1850" s="2">
        <v>114.3</v>
      </c>
      <c r="G1850" s="21">
        <f t="shared" si="163"/>
        <v>4.064508</v>
      </c>
      <c r="H1850" s="20">
        <f t="shared" si="169"/>
        <v>5.3090000000000002</v>
      </c>
      <c r="I1850" s="20">
        <f t="shared" si="170"/>
        <v>4.9770000000000003</v>
      </c>
      <c r="J1850" s="75">
        <f t="shared" si="171"/>
        <v>4.0650000000000004</v>
      </c>
      <c r="L1850" s="20"/>
      <c r="M1850" s="20"/>
      <c r="N1850" s="20"/>
      <c r="O1850" s="20"/>
      <c r="P1850" s="20"/>
      <c r="Q1850" s="21"/>
      <c r="R1850" s="22" t="s">
        <v>16</v>
      </c>
      <c r="S1850" s="22">
        <v>2</v>
      </c>
      <c r="T1850" s="20">
        <f t="shared" si="172"/>
        <v>2443.1578581827243</v>
      </c>
      <c r="U1850" s="22">
        <f>U1847</f>
        <v>0</v>
      </c>
      <c r="V1850" s="20" t="str">
        <f t="shared" si="173"/>
        <v>RE-304,8x152,4x100</v>
      </c>
    </row>
    <row r="1851" spans="1:22" s="294" customFormat="1">
      <c r="A1851" s="293" t="s">
        <v>2005</v>
      </c>
      <c r="B1851" s="2" t="s">
        <v>1999</v>
      </c>
      <c r="C1851" s="2">
        <v>304.8</v>
      </c>
      <c r="D1851" s="2">
        <v>100</v>
      </c>
      <c r="E1851" s="2">
        <v>152.4</v>
      </c>
      <c r="F1851" s="2">
        <v>76.2</v>
      </c>
      <c r="G1851" s="21">
        <f t="shared" si="163"/>
        <v>3.4838640000000005</v>
      </c>
      <c r="H1851" s="20">
        <f>ROUND(C1851*E1851*F1851/10^6,3)</f>
        <v>3.54</v>
      </c>
      <c r="I1851" s="20">
        <f>IF(D1851="","-",ROUND((F1851+D1851)*C1851/2*E1851/10^6,3))</f>
        <v>4.0919999999999996</v>
      </c>
      <c r="J1851" s="75">
        <f>IF(D1851="","-",ROUND((E1851+F1851)*C1851/2*D1851/10^6,3))</f>
        <v>3.484</v>
      </c>
      <c r="L1851" s="20"/>
      <c r="M1851" s="20"/>
      <c r="N1851" s="20"/>
      <c r="O1851" s="20"/>
      <c r="P1851" s="20"/>
      <c r="Q1851" s="21"/>
      <c r="R1851" s="22" t="s">
        <v>16</v>
      </c>
      <c r="S1851" s="22">
        <v>2</v>
      </c>
      <c r="T1851" s="20">
        <f>(E1851+U1851)/2/(SIN(RADIANS((ATAN(((E1851+U1851)-(F1851+U1851))/2/C1851)*180/PI()))))*2</f>
        <v>1228.6880808406991</v>
      </c>
      <c r="U1851" s="22">
        <f>U1845</f>
        <v>0</v>
      </c>
      <c r="V1851" s="20" t="str">
        <f>B1851&amp;"-"&amp;C1851&amp;"x"&amp;E1851&amp;"x"&amp;D1851</f>
        <v>RE-304,8x152,4x100</v>
      </c>
    </row>
    <row r="1852" spans="1:22" s="294" customFormat="1">
      <c r="A1852" s="293"/>
      <c r="B1852" s="2"/>
      <c r="C1852" s="2"/>
      <c r="D1852" s="2"/>
      <c r="E1852" s="2"/>
      <c r="F1852" s="2"/>
      <c r="G1852" s="21"/>
      <c r="H1852" s="20"/>
      <c r="I1852" s="20"/>
      <c r="L1852" s="20"/>
      <c r="M1852" s="20"/>
      <c r="N1852" s="20"/>
      <c r="O1852" s="20"/>
      <c r="P1852" s="20"/>
      <c r="Q1852" s="21"/>
      <c r="R1852" s="22"/>
      <c r="S1852" s="22"/>
      <c r="T1852" s="20"/>
      <c r="U1852" s="22"/>
      <c r="V1852" s="20"/>
    </row>
    <row r="1853" spans="1:22" s="294" customFormat="1">
      <c r="A1853" s="293" t="s">
        <v>2006</v>
      </c>
      <c r="B1853" s="2" t="s">
        <v>1999</v>
      </c>
      <c r="C1853" s="2">
        <v>342.9</v>
      </c>
      <c r="D1853" s="2">
        <v>100</v>
      </c>
      <c r="E1853" s="2">
        <v>152.4</v>
      </c>
      <c r="F1853" s="2">
        <v>127</v>
      </c>
      <c r="G1853" s="21">
        <f t="shared" si="163"/>
        <v>4.7903129999999994</v>
      </c>
      <c r="H1853" s="20">
        <f t="shared" si="169"/>
        <v>6.6369999999999996</v>
      </c>
      <c r="I1853" s="20">
        <f t="shared" si="170"/>
        <v>5.931</v>
      </c>
      <c r="J1853" s="75">
        <f t="shared" si="171"/>
        <v>4.79</v>
      </c>
      <c r="L1853" s="20"/>
      <c r="M1853" s="20"/>
      <c r="N1853" s="20"/>
      <c r="O1853" s="20"/>
      <c r="P1853" s="20"/>
      <c r="Q1853" s="21"/>
      <c r="R1853" s="22" t="s">
        <v>16</v>
      </c>
      <c r="S1853" s="22">
        <v>2</v>
      </c>
      <c r="T1853" s="20">
        <f t="shared" si="172"/>
        <v>4117.6212550451983</v>
      </c>
      <c r="U1853" s="22">
        <f t="shared" ref="U1853:U1854" si="174">U1847</f>
        <v>0</v>
      </c>
      <c r="V1853" s="20" t="str">
        <f t="shared" si="173"/>
        <v>RE-342,9x152,4x100</v>
      </c>
    </row>
    <row r="1854" spans="1:22" s="294" customFormat="1">
      <c r="A1854" s="293" t="s">
        <v>2007</v>
      </c>
      <c r="B1854" s="2" t="s">
        <v>1999</v>
      </c>
      <c r="C1854" s="2">
        <v>342.9</v>
      </c>
      <c r="D1854" s="2">
        <v>100</v>
      </c>
      <c r="E1854" s="2">
        <v>152.4</v>
      </c>
      <c r="F1854" s="2">
        <v>101.6</v>
      </c>
      <c r="G1854" s="21">
        <f t="shared" si="163"/>
        <v>4.3548299999999998</v>
      </c>
      <c r="H1854" s="20">
        <f t="shared" si="169"/>
        <v>5.3090000000000002</v>
      </c>
      <c r="I1854" s="20">
        <f t="shared" si="170"/>
        <v>5.2679999999999998</v>
      </c>
      <c r="J1854" s="75">
        <f t="shared" si="171"/>
        <v>4.3550000000000004</v>
      </c>
      <c r="L1854" s="20"/>
      <c r="M1854" s="20"/>
      <c r="N1854" s="20"/>
      <c r="O1854" s="20"/>
      <c r="P1854" s="20"/>
      <c r="Q1854" s="21"/>
      <c r="R1854" s="22" t="s">
        <v>16</v>
      </c>
      <c r="S1854" s="22">
        <v>2</v>
      </c>
      <c r="T1854" s="20">
        <f t="shared" si="172"/>
        <v>2063.0367228917662</v>
      </c>
      <c r="U1854" s="22">
        <f t="shared" si="174"/>
        <v>0</v>
      </c>
      <c r="V1854" s="20" t="str">
        <f t="shared" si="173"/>
        <v>RE-342,9x152,4x100</v>
      </c>
    </row>
    <row r="1855" spans="1:22" s="294" customFormat="1">
      <c r="A1855" s="293" t="s">
        <v>2008</v>
      </c>
      <c r="B1855" s="2" t="s">
        <v>1999</v>
      </c>
      <c r="C1855" s="2">
        <v>342.9</v>
      </c>
      <c r="D1855" s="2">
        <v>100</v>
      </c>
      <c r="E1855" s="2">
        <v>152.4</v>
      </c>
      <c r="F1855" s="2">
        <v>76.2</v>
      </c>
      <c r="G1855" s="21">
        <f t="shared" si="163"/>
        <v>3.9193470000000006</v>
      </c>
      <c r="H1855" s="20">
        <f t="shared" si="169"/>
        <v>3.9820000000000002</v>
      </c>
      <c r="I1855" s="20">
        <f t="shared" si="170"/>
        <v>4.6040000000000001</v>
      </c>
      <c r="J1855" s="75">
        <f t="shared" si="171"/>
        <v>3.919</v>
      </c>
      <c r="L1855" s="20"/>
      <c r="M1855" s="20"/>
      <c r="N1855" s="20"/>
      <c r="O1855" s="20"/>
      <c r="P1855" s="20"/>
      <c r="Q1855" s="21"/>
      <c r="R1855" s="22" t="s">
        <v>16</v>
      </c>
      <c r="S1855" s="22">
        <v>2</v>
      </c>
      <c r="T1855" s="20">
        <f t="shared" si="172"/>
        <v>1380.0406950521424</v>
      </c>
      <c r="U1855" s="22">
        <f>U1848</f>
        <v>0</v>
      </c>
      <c r="V1855" s="20" t="str">
        <f t="shared" si="173"/>
        <v>RE-342,9x152,4x100</v>
      </c>
    </row>
    <row r="1856" spans="1:22" s="294" customFormat="1">
      <c r="A1856" s="293"/>
      <c r="B1856" s="2"/>
      <c r="C1856" s="2"/>
      <c r="D1856" s="2"/>
      <c r="E1856" s="2"/>
      <c r="F1856" s="2"/>
      <c r="G1856" s="21"/>
      <c r="H1856" s="20"/>
      <c r="I1856" s="20"/>
      <c r="L1856" s="20"/>
      <c r="M1856" s="20"/>
      <c r="N1856" s="20"/>
      <c r="O1856" s="20"/>
      <c r="P1856" s="20"/>
      <c r="Q1856" s="21"/>
      <c r="R1856" s="22"/>
      <c r="S1856" s="22"/>
      <c r="T1856" s="20"/>
      <c r="U1856" s="22"/>
      <c r="V1856" s="20"/>
    </row>
    <row r="1857" spans="1:22" s="294" customFormat="1">
      <c r="A1857" s="293" t="s">
        <v>2009</v>
      </c>
      <c r="B1857" s="2" t="s">
        <v>1999</v>
      </c>
      <c r="C1857" s="2">
        <v>381</v>
      </c>
      <c r="D1857" s="2">
        <v>100</v>
      </c>
      <c r="E1857" s="2">
        <v>152.4</v>
      </c>
      <c r="F1857" s="2">
        <v>139.69999999999999</v>
      </c>
      <c r="G1857" s="21">
        <f t="shared" si="163"/>
        <v>5.5645050000000014</v>
      </c>
      <c r="H1857" s="20">
        <f t="shared" si="169"/>
        <v>8.1120000000000001</v>
      </c>
      <c r="I1857" s="20">
        <f t="shared" si="170"/>
        <v>6.9589999999999996</v>
      </c>
      <c r="J1857" s="75">
        <f t="shared" si="171"/>
        <v>5.5650000000000004</v>
      </c>
      <c r="L1857" s="20"/>
      <c r="M1857" s="20"/>
      <c r="N1857" s="20"/>
      <c r="O1857" s="20"/>
      <c r="P1857" s="20"/>
      <c r="Q1857" s="21"/>
      <c r="R1857" s="22" t="s">
        <v>16</v>
      </c>
      <c r="S1857" s="22">
        <v>2</v>
      </c>
      <c r="T1857" s="20">
        <f t="shared" si="172"/>
        <v>9145.2699118177916</v>
      </c>
      <c r="U1857" s="22">
        <f>U1851</f>
        <v>0</v>
      </c>
      <c r="V1857" s="20" t="str">
        <f t="shared" si="173"/>
        <v>RE-381x152,4x100</v>
      </c>
    </row>
    <row r="1858" spans="1:22" s="294" customFormat="1">
      <c r="A1858" s="293" t="s">
        <v>2010</v>
      </c>
      <c r="B1858" s="2" t="s">
        <v>1999</v>
      </c>
      <c r="C1858" s="2">
        <v>381</v>
      </c>
      <c r="D1858" s="2">
        <v>100</v>
      </c>
      <c r="E1858" s="2">
        <v>152.4</v>
      </c>
      <c r="F1858" s="2">
        <v>127</v>
      </c>
      <c r="G1858" s="21">
        <f t="shared" si="163"/>
        <v>5.3225699999999989</v>
      </c>
      <c r="H1858" s="20">
        <f t="shared" si="169"/>
        <v>7.3739999999999997</v>
      </c>
      <c r="I1858" s="20">
        <f t="shared" si="170"/>
        <v>6.59</v>
      </c>
      <c r="J1858" s="75">
        <f t="shared" si="171"/>
        <v>5.3230000000000004</v>
      </c>
      <c r="L1858" s="20"/>
      <c r="M1858" s="20"/>
      <c r="N1858" s="20"/>
      <c r="O1858" s="20"/>
      <c r="P1858" s="20"/>
      <c r="Q1858" s="21"/>
      <c r="R1858" s="22" t="s">
        <v>16</v>
      </c>
      <c r="S1858" s="22">
        <v>2</v>
      </c>
      <c r="T1858" s="20">
        <f t="shared" si="172"/>
        <v>4574.5392948361477</v>
      </c>
      <c r="U1858" s="22">
        <f t="shared" ref="U1858:U1860" si="175">U1849</f>
        <v>0</v>
      </c>
      <c r="V1858" s="20" t="str">
        <f t="shared" si="173"/>
        <v>RE-381x152,4x100</v>
      </c>
    </row>
    <row r="1859" spans="1:22" s="294" customFormat="1">
      <c r="A1859" s="293" t="s">
        <v>2011</v>
      </c>
      <c r="B1859" s="2" t="s">
        <v>1999</v>
      </c>
      <c r="C1859" s="2">
        <v>381</v>
      </c>
      <c r="D1859" s="2">
        <v>100</v>
      </c>
      <c r="E1859" s="2">
        <v>152.4</v>
      </c>
      <c r="F1859" s="2">
        <v>101.6</v>
      </c>
      <c r="G1859" s="21">
        <f t="shared" si="163"/>
        <v>4.8387000000000002</v>
      </c>
      <c r="H1859" s="20">
        <f t="shared" si="169"/>
        <v>5.899</v>
      </c>
      <c r="I1859" s="20">
        <f t="shared" si="170"/>
        <v>5.8529999999999998</v>
      </c>
      <c r="J1859" s="75">
        <f t="shared" si="171"/>
        <v>4.8390000000000004</v>
      </c>
      <c r="L1859" s="20"/>
      <c r="M1859" s="20"/>
      <c r="N1859" s="20"/>
      <c r="O1859" s="20"/>
      <c r="P1859" s="20"/>
      <c r="Q1859" s="21"/>
      <c r="R1859" s="22" t="s">
        <v>16</v>
      </c>
      <c r="S1859" s="22">
        <v>2</v>
      </c>
      <c r="T1859" s="20">
        <f t="shared" si="172"/>
        <v>2291.0743680640308</v>
      </c>
      <c r="U1859" s="22">
        <f t="shared" si="175"/>
        <v>0</v>
      </c>
      <c r="V1859" s="20" t="str">
        <f t="shared" si="173"/>
        <v>RE-381x152,4x100</v>
      </c>
    </row>
    <row r="1860" spans="1:22" s="294" customFormat="1">
      <c r="A1860" s="293" t="s">
        <v>2012</v>
      </c>
      <c r="B1860" s="2" t="s">
        <v>1999</v>
      </c>
      <c r="C1860" s="2">
        <v>381</v>
      </c>
      <c r="D1860" s="2">
        <v>100</v>
      </c>
      <c r="E1860" s="2">
        <v>152.4</v>
      </c>
      <c r="F1860" s="2">
        <v>76.2</v>
      </c>
      <c r="G1860" s="21">
        <f t="shared" si="163"/>
        <v>4.3548300000000006</v>
      </c>
      <c r="H1860" s="20">
        <f t="shared" si="169"/>
        <v>4.4249999999999998</v>
      </c>
      <c r="I1860" s="20">
        <f t="shared" si="170"/>
        <v>5.1150000000000002</v>
      </c>
      <c r="J1860" s="75">
        <f t="shared" si="171"/>
        <v>4.3550000000000004</v>
      </c>
      <c r="L1860" s="20"/>
      <c r="M1860" s="20"/>
      <c r="N1860" s="20"/>
      <c r="O1860" s="20"/>
      <c r="P1860" s="20"/>
      <c r="Q1860" s="21"/>
      <c r="R1860" s="22" t="s">
        <v>16</v>
      </c>
      <c r="S1860" s="22">
        <v>2</v>
      </c>
      <c r="T1860" s="20">
        <f t="shared" si="172"/>
        <v>1531.6010446588234</v>
      </c>
      <c r="U1860" s="22">
        <f t="shared" si="175"/>
        <v>0</v>
      </c>
      <c r="V1860" s="20" t="str">
        <f t="shared" si="173"/>
        <v>RE-381x152,4x100</v>
      </c>
    </row>
    <row r="1861" spans="1:22" s="294" customFormat="1">
      <c r="A1861" s="293"/>
      <c r="B1861" s="2"/>
      <c r="C1861" s="2"/>
      <c r="D1861" s="2"/>
      <c r="E1861" s="2"/>
      <c r="F1861" s="2"/>
      <c r="G1861" s="21"/>
      <c r="H1861" s="20"/>
      <c r="I1861" s="20"/>
      <c r="L1861" s="20"/>
      <c r="M1861" s="20"/>
      <c r="N1861" s="20"/>
      <c r="O1861" s="20"/>
      <c r="P1861" s="20"/>
      <c r="Q1861" s="21"/>
      <c r="R1861" s="22"/>
      <c r="S1861" s="22"/>
      <c r="T1861" s="20"/>
      <c r="U1861" s="22"/>
      <c r="V1861" s="20"/>
    </row>
    <row r="1862" spans="1:22" s="294" customFormat="1">
      <c r="A1862" s="293" t="s">
        <v>2013</v>
      </c>
      <c r="B1862" s="2" t="s">
        <v>1999</v>
      </c>
      <c r="C1862" s="2">
        <v>457.2</v>
      </c>
      <c r="D1862" s="2">
        <v>100</v>
      </c>
      <c r="E1862" s="2">
        <v>152.4</v>
      </c>
      <c r="F1862" s="2">
        <v>139.69999999999999</v>
      </c>
      <c r="G1862" s="21">
        <f t="shared" si="163"/>
        <v>6.6774060000000013</v>
      </c>
      <c r="H1862" s="20">
        <f t="shared" si="169"/>
        <v>9.734</v>
      </c>
      <c r="I1862" s="20">
        <f t="shared" si="170"/>
        <v>8.3510000000000009</v>
      </c>
      <c r="J1862" s="75">
        <f t="shared" si="171"/>
        <v>6.6769999999999996</v>
      </c>
      <c r="L1862" s="20"/>
      <c r="M1862" s="20"/>
      <c r="N1862" s="20"/>
      <c r="O1862" s="20"/>
      <c r="P1862" s="20"/>
      <c r="Q1862" s="21"/>
      <c r="R1862" s="22" t="s">
        <v>16</v>
      </c>
      <c r="S1862" s="22">
        <v>2</v>
      </c>
      <c r="T1862" s="20">
        <f t="shared" si="172"/>
        <v>10973.858282299791</v>
      </c>
      <c r="U1862" s="22">
        <f>U1852</f>
        <v>0</v>
      </c>
      <c r="V1862" s="20" t="str">
        <f t="shared" si="173"/>
        <v>RE-457,2x152,4x100</v>
      </c>
    </row>
    <row r="1863" spans="1:22" s="294" customFormat="1">
      <c r="A1863" s="293" t="s">
        <v>2014</v>
      </c>
      <c r="B1863" s="2" t="s">
        <v>1999</v>
      </c>
      <c r="C1863" s="2">
        <v>457.2</v>
      </c>
      <c r="D1863" s="2">
        <v>100</v>
      </c>
      <c r="E1863" s="2">
        <v>152.4</v>
      </c>
      <c r="F1863" s="2">
        <v>127</v>
      </c>
      <c r="G1863" s="21">
        <f t="shared" si="163"/>
        <v>6.3870839999999989</v>
      </c>
      <c r="H1863" s="20">
        <f t="shared" si="169"/>
        <v>8.8490000000000002</v>
      </c>
      <c r="I1863" s="20">
        <f t="shared" si="170"/>
        <v>7.9080000000000004</v>
      </c>
      <c r="J1863" s="75">
        <f t="shared" si="171"/>
        <v>6.3869999999999996</v>
      </c>
      <c r="L1863" s="20"/>
      <c r="M1863" s="20"/>
      <c r="N1863" s="20"/>
      <c r="O1863" s="20"/>
      <c r="P1863" s="20"/>
      <c r="Q1863" s="21"/>
      <c r="R1863" s="22" t="s">
        <v>16</v>
      </c>
      <c r="S1863" s="22">
        <v>2</v>
      </c>
      <c r="T1863" s="20">
        <f t="shared" si="172"/>
        <v>5488.5162585165026</v>
      </c>
      <c r="U1863" s="22">
        <f>U1853</f>
        <v>0</v>
      </c>
      <c r="V1863" s="20" t="str">
        <f t="shared" si="173"/>
        <v>RE-457,2x152,4x100</v>
      </c>
    </row>
    <row r="1864" spans="1:22" s="294" customFormat="1">
      <c r="A1864" s="293" t="s">
        <v>2015</v>
      </c>
      <c r="B1864" s="2" t="s">
        <v>1999</v>
      </c>
      <c r="C1864" s="2">
        <v>457.2</v>
      </c>
      <c r="D1864" s="2">
        <v>100</v>
      </c>
      <c r="E1864" s="2">
        <v>152.4</v>
      </c>
      <c r="F1864" s="2">
        <v>101.6</v>
      </c>
      <c r="G1864" s="21">
        <f t="shared" si="163"/>
        <v>5.8064400000000003</v>
      </c>
      <c r="H1864" s="20">
        <f t="shared" si="169"/>
        <v>7.0789999999999997</v>
      </c>
      <c r="I1864" s="20">
        <f t="shared" si="170"/>
        <v>7.0229999999999997</v>
      </c>
      <c r="J1864" s="75">
        <f t="shared" si="171"/>
        <v>5.806</v>
      </c>
      <c r="L1864" s="20"/>
      <c r="M1864" s="20"/>
      <c r="N1864" s="20"/>
      <c r="O1864" s="20"/>
      <c r="P1864" s="20"/>
      <c r="Q1864" s="21"/>
      <c r="R1864" s="22" t="s">
        <v>16</v>
      </c>
      <c r="S1864" s="22">
        <v>2</v>
      </c>
      <c r="T1864" s="20">
        <f t="shared" si="172"/>
        <v>2747.4300719035591</v>
      </c>
      <c r="U1864" s="22">
        <f>U1854</f>
        <v>0</v>
      </c>
      <c r="V1864" s="20" t="str">
        <f t="shared" si="173"/>
        <v>RE-457,2x152,4x100</v>
      </c>
    </row>
    <row r="1865" spans="1:22" s="294" customFormat="1">
      <c r="A1865" s="293" t="s">
        <v>2016</v>
      </c>
      <c r="B1865" s="2" t="s">
        <v>1999</v>
      </c>
      <c r="C1865" s="2">
        <v>457.2</v>
      </c>
      <c r="D1865" s="2">
        <v>100</v>
      </c>
      <c r="E1865" s="2">
        <v>152.4</v>
      </c>
      <c r="F1865" s="2">
        <v>85.7</v>
      </c>
      <c r="G1865" s="21">
        <f t="shared" si="163"/>
        <v>5.4429660000000011</v>
      </c>
      <c r="H1865" s="20">
        <f t="shared" si="169"/>
        <v>5.9710000000000001</v>
      </c>
      <c r="I1865" s="20">
        <f t="shared" si="170"/>
        <v>6.47</v>
      </c>
      <c r="J1865" s="75">
        <f t="shared" si="171"/>
        <v>5.4429999999999996</v>
      </c>
      <c r="L1865" s="20"/>
      <c r="M1865" s="20"/>
      <c r="N1865" s="20"/>
      <c r="O1865" s="20"/>
      <c r="P1865" s="20"/>
      <c r="Q1865" s="21"/>
      <c r="R1865" s="22" t="s">
        <v>16</v>
      </c>
      <c r="S1865" s="22">
        <v>2</v>
      </c>
      <c r="T1865" s="20">
        <f t="shared" si="172"/>
        <v>2094.8247223228705</v>
      </c>
      <c r="U1865" s="22">
        <f>U1855</f>
        <v>0</v>
      </c>
      <c r="V1865" s="20" t="str">
        <f t="shared" si="173"/>
        <v>RE-457,2x152,4x100</v>
      </c>
    </row>
    <row r="1866" spans="1:22" s="294" customFormat="1">
      <c r="A1866" s="293"/>
      <c r="B1866" s="2"/>
      <c r="C1866" s="2"/>
      <c r="D1866" s="2"/>
      <c r="E1866" s="2"/>
      <c r="F1866" s="2"/>
      <c r="G1866" s="21"/>
      <c r="H1866" s="20"/>
      <c r="I1866" s="20"/>
      <c r="L1866" s="20"/>
      <c r="M1866" s="20"/>
      <c r="N1866" s="20"/>
      <c r="O1866" s="20"/>
      <c r="P1866" s="20"/>
      <c r="Q1866" s="21"/>
      <c r="R1866" s="22"/>
      <c r="S1866" s="22"/>
      <c r="T1866" s="20"/>
      <c r="U1866" s="22"/>
      <c r="V1866" s="20"/>
    </row>
    <row r="1867" spans="1:22" s="294" customFormat="1">
      <c r="A1867" s="293" t="s">
        <v>2017</v>
      </c>
      <c r="B1867" s="2" t="s">
        <v>1999</v>
      </c>
      <c r="C1867" s="2">
        <v>533.4</v>
      </c>
      <c r="D1867" s="2">
        <v>100</v>
      </c>
      <c r="E1867" s="2">
        <v>152.4</v>
      </c>
      <c r="F1867" s="2">
        <v>127</v>
      </c>
      <c r="G1867" s="21">
        <f t="shared" si="163"/>
        <v>7.4515979999999988</v>
      </c>
      <c r="H1867" s="20">
        <f t="shared" si="169"/>
        <v>10.324</v>
      </c>
      <c r="I1867" s="20">
        <f t="shared" si="170"/>
        <v>9.2260000000000009</v>
      </c>
      <c r="J1867" s="75">
        <f t="shared" si="171"/>
        <v>7.452</v>
      </c>
      <c r="L1867" s="20"/>
      <c r="M1867" s="20"/>
      <c r="N1867" s="20"/>
      <c r="O1867" s="20"/>
      <c r="P1867" s="20"/>
      <c r="Q1867" s="21"/>
      <c r="R1867" s="22" t="s">
        <v>16</v>
      </c>
      <c r="S1867" s="22">
        <v>2</v>
      </c>
      <c r="T1867" s="20">
        <f t="shared" si="172"/>
        <v>6402.6140286604805</v>
      </c>
      <c r="U1867" s="22">
        <f>U1856</f>
        <v>0</v>
      </c>
      <c r="V1867" s="20" t="str">
        <f t="shared" si="173"/>
        <v>RE-533,4x152,4x100</v>
      </c>
    </row>
    <row r="1868" spans="1:22" s="294" customFormat="1">
      <c r="A1868" s="293" t="s">
        <v>2018</v>
      </c>
      <c r="B1868" s="2" t="s">
        <v>1999</v>
      </c>
      <c r="C1868" s="2">
        <v>533.4</v>
      </c>
      <c r="D1868" s="2">
        <v>100</v>
      </c>
      <c r="E1868" s="2">
        <v>152.4</v>
      </c>
      <c r="F1868" s="2">
        <v>101.6</v>
      </c>
      <c r="G1868" s="21">
        <f t="shared" si="163"/>
        <v>6.7741800000000003</v>
      </c>
      <c r="H1868" s="20">
        <f t="shared" si="169"/>
        <v>8.2590000000000003</v>
      </c>
      <c r="I1868" s="20">
        <f t="shared" si="170"/>
        <v>8.1940000000000008</v>
      </c>
      <c r="J1868" s="75">
        <f t="shared" si="171"/>
        <v>6.774</v>
      </c>
      <c r="L1868" s="20"/>
      <c r="M1868" s="20"/>
      <c r="N1868" s="20"/>
      <c r="O1868" s="20"/>
      <c r="P1868" s="20"/>
      <c r="Q1868" s="21"/>
      <c r="R1868" s="22" t="s">
        <v>16</v>
      </c>
      <c r="S1868" s="22">
        <v>2</v>
      </c>
      <c r="T1868" s="20">
        <f t="shared" si="172"/>
        <v>3204.0265167442039</v>
      </c>
      <c r="U1868" s="22">
        <f t="shared" ref="U1868:U1869" si="176">U1857</f>
        <v>0</v>
      </c>
      <c r="V1868" s="20" t="str">
        <f t="shared" si="173"/>
        <v>RE-533,4x152,4x100</v>
      </c>
    </row>
    <row r="1869" spans="1:22" s="294" customFormat="1">
      <c r="A1869" s="293" t="s">
        <v>2019</v>
      </c>
      <c r="B1869" s="2" t="s">
        <v>1999</v>
      </c>
      <c r="C1869" s="2">
        <v>533.4</v>
      </c>
      <c r="D1869" s="2">
        <v>100</v>
      </c>
      <c r="E1869" s="2">
        <v>152.4</v>
      </c>
      <c r="F1869" s="2">
        <v>76.2</v>
      </c>
      <c r="G1869" s="21">
        <f t="shared" si="163"/>
        <v>6.0967620000000009</v>
      </c>
      <c r="H1869" s="20">
        <f t="shared" si="169"/>
        <v>6.194</v>
      </c>
      <c r="I1869" s="20">
        <f t="shared" si="170"/>
        <v>7.1619999999999999</v>
      </c>
      <c r="J1869" s="75">
        <f t="shared" si="171"/>
        <v>6.0970000000000004</v>
      </c>
      <c r="L1869" s="20"/>
      <c r="M1869" s="20"/>
      <c r="N1869" s="20"/>
      <c r="O1869" s="20"/>
      <c r="P1869" s="20"/>
      <c r="Q1869" s="21"/>
      <c r="R1869" s="22" t="s">
        <v>16</v>
      </c>
      <c r="S1869" s="22">
        <v>2</v>
      </c>
      <c r="T1869" s="20">
        <f t="shared" si="172"/>
        <v>2139.0359323770131</v>
      </c>
      <c r="U1869" s="22">
        <f t="shared" si="176"/>
        <v>0</v>
      </c>
      <c r="V1869" s="20" t="str">
        <f t="shared" si="173"/>
        <v>RE-533,4x152,4x100</v>
      </c>
    </row>
    <row r="1870" spans="1:22" s="294" customFormat="1">
      <c r="A1870" s="293"/>
      <c r="B1870" s="2"/>
      <c r="C1870" s="2"/>
      <c r="D1870" s="2"/>
      <c r="E1870" s="2"/>
      <c r="F1870" s="2"/>
      <c r="G1870" s="21"/>
      <c r="H1870" s="20"/>
      <c r="I1870" s="20"/>
      <c r="L1870" s="20"/>
      <c r="M1870" s="20"/>
      <c r="N1870" s="20"/>
      <c r="O1870" s="20"/>
      <c r="P1870" s="20"/>
      <c r="Q1870" s="21"/>
      <c r="R1870" s="22"/>
      <c r="S1870" s="22"/>
      <c r="T1870" s="20"/>
      <c r="U1870" s="22"/>
      <c r="V1870" s="20"/>
    </row>
    <row r="1871" spans="1:22" s="294" customFormat="1">
      <c r="A1871" s="293" t="s">
        <v>2020</v>
      </c>
      <c r="B1871" s="2" t="s">
        <v>1999</v>
      </c>
      <c r="C1871" s="2">
        <v>609.6</v>
      </c>
      <c r="D1871" s="2">
        <v>100</v>
      </c>
      <c r="E1871" s="2">
        <v>152.4</v>
      </c>
      <c r="F1871" s="2">
        <v>127</v>
      </c>
      <c r="G1871" s="21">
        <f t="shared" si="163"/>
        <v>8.5161119999999997</v>
      </c>
      <c r="H1871" s="20">
        <f t="shared" si="169"/>
        <v>11.798999999999999</v>
      </c>
      <c r="I1871" s="20">
        <f t="shared" si="170"/>
        <v>10.544</v>
      </c>
      <c r="J1871" s="75">
        <f t="shared" si="171"/>
        <v>8.516</v>
      </c>
      <c r="L1871" s="20"/>
      <c r="M1871" s="20"/>
      <c r="N1871" s="20"/>
      <c r="O1871" s="20"/>
      <c r="P1871" s="20"/>
      <c r="Q1871" s="21"/>
      <c r="R1871" s="22" t="s">
        <v>16</v>
      </c>
      <c r="S1871" s="22">
        <v>2</v>
      </c>
      <c r="T1871" s="20">
        <f t="shared" si="172"/>
        <v>7316.7873277825956</v>
      </c>
      <c r="U1871" s="22">
        <f>U1859</f>
        <v>0</v>
      </c>
      <c r="V1871" s="20" t="str">
        <f t="shared" si="173"/>
        <v>RE-609,6x152,4x100</v>
      </c>
    </row>
    <row r="1872" spans="1:22" s="294" customFormat="1">
      <c r="A1872" s="293" t="s">
        <v>2021</v>
      </c>
      <c r="B1872" s="2" t="s">
        <v>1999</v>
      </c>
      <c r="C1872" s="2">
        <v>609.6</v>
      </c>
      <c r="D1872" s="2">
        <v>100</v>
      </c>
      <c r="E1872" s="2">
        <v>152.4</v>
      </c>
      <c r="F1872" s="2">
        <v>101.6</v>
      </c>
      <c r="G1872" s="21">
        <f t="shared" si="163"/>
        <v>7.7419200000000004</v>
      </c>
      <c r="H1872" s="20">
        <f t="shared" si="169"/>
        <v>9.4390000000000001</v>
      </c>
      <c r="I1872" s="20">
        <f t="shared" si="170"/>
        <v>9.3650000000000002</v>
      </c>
      <c r="J1872" s="75">
        <f t="shared" si="171"/>
        <v>7.742</v>
      </c>
      <c r="L1872" s="20"/>
      <c r="M1872" s="20"/>
      <c r="N1872" s="20"/>
      <c r="O1872" s="20"/>
      <c r="P1872" s="20"/>
      <c r="Q1872" s="21"/>
      <c r="R1872" s="22" t="s">
        <v>16</v>
      </c>
      <c r="S1872" s="22">
        <v>2</v>
      </c>
      <c r="T1872" s="20">
        <f t="shared" si="172"/>
        <v>3660.7736231567228</v>
      </c>
      <c r="U1872" s="22">
        <f>U1860</f>
        <v>0</v>
      </c>
      <c r="V1872" s="20" t="str">
        <f t="shared" si="173"/>
        <v>RE-609,6x152,4x100</v>
      </c>
    </row>
    <row r="1873" spans="1:22" s="294" customFormat="1">
      <c r="A1873" s="293" t="s">
        <v>2022</v>
      </c>
      <c r="B1873" s="2" t="s">
        <v>1999</v>
      </c>
      <c r="C1873" s="2">
        <v>609.6</v>
      </c>
      <c r="D1873" s="2">
        <v>100</v>
      </c>
      <c r="E1873" s="2">
        <v>152.4</v>
      </c>
      <c r="F1873" s="2">
        <v>76.2</v>
      </c>
      <c r="G1873" s="21">
        <f t="shared" si="163"/>
        <v>6.967728000000001</v>
      </c>
      <c r="H1873" s="20">
        <f t="shared" si="169"/>
        <v>7.0789999999999997</v>
      </c>
      <c r="I1873" s="20">
        <f t="shared" si="170"/>
        <v>8.1850000000000005</v>
      </c>
      <c r="J1873" s="75">
        <f t="shared" si="171"/>
        <v>6.968</v>
      </c>
      <c r="L1873" s="20"/>
      <c r="M1873" s="20"/>
      <c r="N1873" s="20"/>
      <c r="O1873" s="20"/>
      <c r="P1873" s="20"/>
      <c r="Q1873" s="21"/>
      <c r="R1873" s="22" t="s">
        <v>16</v>
      </c>
      <c r="S1873" s="22">
        <v>2</v>
      </c>
      <c r="T1873" s="20">
        <f t="shared" si="172"/>
        <v>2443.1578581827248</v>
      </c>
      <c r="U1873" s="22">
        <f>U1861</f>
        <v>0</v>
      </c>
      <c r="V1873" s="20" t="str">
        <f t="shared" si="173"/>
        <v>RE-609,6x152,4x100</v>
      </c>
    </row>
    <row r="1874" spans="1:22" s="294" customFormat="1">
      <c r="A1874" s="293"/>
      <c r="B1874" s="2"/>
      <c r="C1874" s="2"/>
      <c r="D1874" s="2"/>
      <c r="E1874" s="2"/>
      <c r="F1874" s="2"/>
      <c r="G1874" s="21"/>
      <c r="H1874" s="20"/>
      <c r="I1874" s="20"/>
      <c r="L1874" s="20"/>
      <c r="M1874" s="20"/>
      <c r="N1874" s="20"/>
      <c r="O1874" s="20"/>
      <c r="P1874" s="20"/>
      <c r="Q1874" s="21"/>
      <c r="R1874" s="22"/>
      <c r="S1874" s="22"/>
      <c r="T1874" s="20"/>
      <c r="U1874" s="22"/>
      <c r="V1874" s="20"/>
    </row>
    <row r="1875" spans="1:22" s="294" customFormat="1">
      <c r="A1875" s="293" t="s">
        <v>2023</v>
      </c>
      <c r="B1875" s="2" t="s">
        <v>1999</v>
      </c>
      <c r="C1875" s="2">
        <v>685.8</v>
      </c>
      <c r="D1875" s="2">
        <v>100</v>
      </c>
      <c r="E1875" s="2">
        <v>152.4</v>
      </c>
      <c r="F1875" s="2">
        <v>127</v>
      </c>
      <c r="G1875" s="21">
        <f t="shared" si="163"/>
        <v>9.5806259999999988</v>
      </c>
      <c r="H1875" s="20">
        <f t="shared" si="169"/>
        <v>13.273999999999999</v>
      </c>
      <c r="I1875" s="20">
        <f t="shared" si="170"/>
        <v>11.863</v>
      </c>
      <c r="J1875" s="75">
        <f t="shared" si="171"/>
        <v>9.5809999999999995</v>
      </c>
      <c r="L1875" s="20"/>
      <c r="M1875" s="20"/>
      <c r="N1875" s="20"/>
      <c r="O1875" s="20"/>
      <c r="P1875" s="20"/>
      <c r="Q1875" s="21"/>
      <c r="R1875" s="22" t="s">
        <v>16</v>
      </c>
      <c r="S1875" s="22">
        <v>2</v>
      </c>
      <c r="T1875" s="20">
        <f t="shared" si="172"/>
        <v>8231.0109901518153</v>
      </c>
      <c r="U1875" s="22">
        <f>U1862</f>
        <v>0</v>
      </c>
      <c r="V1875" s="20" t="str">
        <f t="shared" si="173"/>
        <v>RE-685,8x152,4x100</v>
      </c>
    </row>
    <row r="1876" spans="1:22" s="294" customFormat="1">
      <c r="A1876" s="293" t="s">
        <v>2024</v>
      </c>
      <c r="B1876" s="2" t="s">
        <v>1999</v>
      </c>
      <c r="C1876" s="2">
        <v>685.8</v>
      </c>
      <c r="D1876" s="2">
        <v>100</v>
      </c>
      <c r="E1876" s="2">
        <v>152.4</v>
      </c>
      <c r="F1876" s="2">
        <v>101.6</v>
      </c>
      <c r="G1876" s="21">
        <f t="shared" si="163"/>
        <v>8.7096599999999995</v>
      </c>
      <c r="H1876" s="20">
        <f t="shared" si="169"/>
        <v>10.619</v>
      </c>
      <c r="I1876" s="20">
        <f t="shared" si="170"/>
        <v>10.535</v>
      </c>
      <c r="J1876" s="75">
        <f t="shared" si="171"/>
        <v>8.7100000000000009</v>
      </c>
      <c r="L1876" s="20"/>
      <c r="M1876" s="20"/>
      <c r="N1876" s="20"/>
      <c r="O1876" s="20"/>
      <c r="P1876" s="20"/>
      <c r="Q1876" s="21"/>
      <c r="R1876" s="22" t="s">
        <v>16</v>
      </c>
      <c r="S1876" s="22">
        <v>2</v>
      </c>
      <c r="T1876" s="20">
        <f t="shared" si="172"/>
        <v>4117.6212550451983</v>
      </c>
      <c r="U1876" s="22">
        <f>U1863</f>
        <v>0</v>
      </c>
      <c r="V1876" s="20" t="str">
        <f t="shared" si="173"/>
        <v>RE-685,8x152,4x100</v>
      </c>
    </row>
    <row r="1877" spans="1:22" s="294" customFormat="1">
      <c r="A1877" s="293" t="s">
        <v>2025</v>
      </c>
      <c r="B1877" s="2" t="s">
        <v>1999</v>
      </c>
      <c r="C1877" s="2">
        <v>685.8</v>
      </c>
      <c r="D1877" s="2">
        <v>100</v>
      </c>
      <c r="E1877" s="2">
        <v>152.4</v>
      </c>
      <c r="F1877" s="2">
        <v>76.2</v>
      </c>
      <c r="G1877" s="21">
        <f t="shared" si="163"/>
        <v>7.8386940000000012</v>
      </c>
      <c r="H1877" s="20">
        <f t="shared" si="169"/>
        <v>7.9640000000000004</v>
      </c>
      <c r="I1877" s="20">
        <f t="shared" si="170"/>
        <v>9.2080000000000002</v>
      </c>
      <c r="J1877" s="75">
        <f t="shared" si="171"/>
        <v>7.8390000000000004</v>
      </c>
      <c r="L1877" s="20"/>
      <c r="M1877" s="20"/>
      <c r="N1877" s="20"/>
      <c r="O1877" s="20"/>
      <c r="P1877" s="20"/>
      <c r="Q1877" s="21"/>
      <c r="R1877" s="22" t="s">
        <v>16</v>
      </c>
      <c r="S1877" s="22">
        <v>2</v>
      </c>
      <c r="T1877" s="20">
        <f t="shared" si="172"/>
        <v>2747.4300719035596</v>
      </c>
      <c r="U1877" s="22">
        <f>U1864</f>
        <v>0</v>
      </c>
      <c r="V1877" s="20" t="str">
        <f t="shared" si="173"/>
        <v>RE-685,8x152,4x100</v>
      </c>
    </row>
    <row r="1878" spans="1:22" s="294" customFormat="1">
      <c r="A1878" s="293" t="s">
        <v>2026</v>
      </c>
      <c r="B1878" s="2" t="s">
        <v>1999</v>
      </c>
      <c r="C1878" s="2">
        <v>685.8</v>
      </c>
      <c r="D1878" s="2">
        <v>100</v>
      </c>
      <c r="E1878" s="2">
        <v>152.4</v>
      </c>
      <c r="F1878" s="2">
        <v>50.8</v>
      </c>
      <c r="G1878" s="21">
        <f t="shared" si="163"/>
        <v>6.9677280000000001</v>
      </c>
      <c r="H1878" s="20">
        <f t="shared" si="169"/>
        <v>5.3090000000000002</v>
      </c>
      <c r="I1878" s="20">
        <f t="shared" si="170"/>
        <v>7.8810000000000002</v>
      </c>
      <c r="J1878" s="75">
        <f t="shared" si="171"/>
        <v>6.968</v>
      </c>
      <c r="L1878" s="20"/>
      <c r="M1878" s="20"/>
      <c r="N1878" s="20"/>
      <c r="O1878" s="20"/>
      <c r="P1878" s="20"/>
      <c r="Q1878" s="21"/>
      <c r="R1878" s="22" t="s">
        <v>16</v>
      </c>
      <c r="S1878" s="22">
        <v>2</v>
      </c>
      <c r="T1878" s="20">
        <f t="shared" si="172"/>
        <v>2063.0367228917667</v>
      </c>
      <c r="U1878" s="22">
        <f>U1865</f>
        <v>0</v>
      </c>
      <c r="V1878" s="20" t="str">
        <f t="shared" si="173"/>
        <v>RE-685,8x152,4x100</v>
      </c>
    </row>
    <row r="1879" spans="1:22" s="294" customFormat="1">
      <c r="B1879" s="2"/>
      <c r="C1879" s="2"/>
      <c r="D1879" s="2"/>
      <c r="E1879" s="2"/>
      <c r="F1879" s="2"/>
      <c r="G1879" s="345"/>
      <c r="Q1879" s="541"/>
      <c r="R1879" s="2"/>
    </row>
    <row r="1880" spans="1:22" s="294" customFormat="1">
      <c r="A1880" s="293" t="s">
        <v>2293</v>
      </c>
      <c r="B1880" s="2" t="s">
        <v>1999</v>
      </c>
      <c r="C1880" s="2">
        <v>762</v>
      </c>
      <c r="D1880" s="2">
        <v>100</v>
      </c>
      <c r="E1880" s="2">
        <v>152.4</v>
      </c>
      <c r="F1880" s="2">
        <v>127</v>
      </c>
      <c r="G1880" s="21">
        <f t="shared" si="163"/>
        <v>10.645139999999998</v>
      </c>
      <c r="H1880" s="20">
        <f t="shared" si="169"/>
        <v>14.747999999999999</v>
      </c>
      <c r="I1880" s="20">
        <f t="shared" si="170"/>
        <v>13.180999999999999</v>
      </c>
      <c r="J1880" s="75">
        <f t="shared" si="171"/>
        <v>10.645</v>
      </c>
      <c r="L1880" s="20"/>
      <c r="M1880" s="20"/>
      <c r="N1880" s="20"/>
      <c r="O1880" s="20"/>
      <c r="P1880" s="20"/>
      <c r="Q1880" s="21"/>
      <c r="R1880" s="22" t="s">
        <v>16</v>
      </c>
      <c r="S1880" s="22">
        <v>2</v>
      </c>
      <c r="T1880" s="20">
        <f t="shared" si="172"/>
        <v>9145.2699118178025</v>
      </c>
      <c r="U1880" s="22">
        <f>U1866</f>
        <v>0</v>
      </c>
      <c r="V1880" s="20" t="str">
        <f t="shared" si="173"/>
        <v>RE-762x152,4x100</v>
      </c>
    </row>
    <row r="1881" spans="1:22" s="294" customFormat="1">
      <c r="A1881" s="293" t="s">
        <v>2299</v>
      </c>
      <c r="B1881" s="2" t="s">
        <v>1999</v>
      </c>
      <c r="C1881" s="2">
        <v>762</v>
      </c>
      <c r="D1881" s="2">
        <v>100</v>
      </c>
      <c r="E1881" s="2">
        <v>152.4</v>
      </c>
      <c r="F1881" s="2">
        <v>101.6</v>
      </c>
      <c r="G1881" s="21">
        <f t="shared" si="163"/>
        <v>9.6774000000000004</v>
      </c>
      <c r="H1881" s="20">
        <f t="shared" si="169"/>
        <v>11.798999999999999</v>
      </c>
      <c r="I1881" s="20">
        <f t="shared" si="170"/>
        <v>11.706</v>
      </c>
      <c r="J1881" s="75">
        <f t="shared" si="171"/>
        <v>9.6769999999999996</v>
      </c>
      <c r="L1881" s="20"/>
      <c r="M1881" s="20"/>
      <c r="N1881" s="20"/>
      <c r="O1881" s="20"/>
      <c r="P1881" s="20"/>
      <c r="Q1881" s="21"/>
      <c r="R1881" s="22" t="s">
        <v>16</v>
      </c>
      <c r="S1881" s="22">
        <v>2</v>
      </c>
      <c r="T1881" s="20">
        <f t="shared" si="172"/>
        <v>4574.5392948361477</v>
      </c>
      <c r="U1881" s="22">
        <f>U1867</f>
        <v>0</v>
      </c>
      <c r="V1881" s="20" t="str">
        <f t="shared" si="173"/>
        <v>RE-762x152,4x100</v>
      </c>
    </row>
    <row r="1882" spans="1:22" s="294" customFormat="1">
      <c r="A1882" s="293" t="s">
        <v>2290</v>
      </c>
      <c r="B1882" s="2" t="s">
        <v>1999</v>
      </c>
      <c r="C1882" s="2">
        <v>762</v>
      </c>
      <c r="D1882" s="2">
        <v>100</v>
      </c>
      <c r="E1882" s="2">
        <v>152.4</v>
      </c>
      <c r="F1882" s="2">
        <v>76.2</v>
      </c>
      <c r="G1882" s="21">
        <f t="shared" si="163"/>
        <v>8.7096600000000013</v>
      </c>
      <c r="H1882" s="20">
        <f t="shared" si="169"/>
        <v>8.8490000000000002</v>
      </c>
      <c r="I1882" s="20">
        <f t="shared" si="170"/>
        <v>10.231</v>
      </c>
      <c r="J1882" s="75">
        <f t="shared" si="171"/>
        <v>8.7100000000000009</v>
      </c>
      <c r="L1882" s="20"/>
      <c r="M1882" s="20"/>
      <c r="N1882" s="20"/>
      <c r="O1882" s="20"/>
      <c r="P1882" s="20"/>
      <c r="Q1882" s="21"/>
      <c r="R1882" s="22" t="s">
        <v>16</v>
      </c>
      <c r="S1882" s="22">
        <v>2</v>
      </c>
      <c r="T1882" s="20">
        <f t="shared" si="172"/>
        <v>3051.80762172192</v>
      </c>
      <c r="U1882" s="22">
        <f>U1868</f>
        <v>0</v>
      </c>
      <c r="V1882" s="20" t="str">
        <f t="shared" si="173"/>
        <v>RE-762x152,4x100</v>
      </c>
    </row>
    <row r="1883" spans="1:22" s="294" customFormat="1">
      <c r="B1883" s="2"/>
      <c r="C1883" s="2"/>
      <c r="D1883" s="2"/>
      <c r="E1883" s="2"/>
      <c r="F1883" s="2"/>
      <c r="G1883" s="345"/>
      <c r="Q1883" s="541"/>
      <c r="R1883" s="2"/>
    </row>
    <row r="1884" spans="1:22" s="598" customFormat="1">
      <c r="A1884" s="594" t="s">
        <v>2027</v>
      </c>
      <c r="B1884" s="462" t="s">
        <v>1999</v>
      </c>
      <c r="C1884" s="462">
        <v>252</v>
      </c>
      <c r="D1884" s="462">
        <v>100</v>
      </c>
      <c r="E1884" s="462">
        <v>114.3</v>
      </c>
      <c r="F1884" s="462">
        <v>114.3</v>
      </c>
      <c r="G1884" s="595">
        <v>2.3450000000000002</v>
      </c>
      <c r="H1884" s="595"/>
      <c r="I1884" s="596"/>
      <c r="J1884" s="597"/>
      <c r="L1884" s="596"/>
      <c r="M1884" s="596"/>
      <c r="N1884" s="596"/>
      <c r="O1884" s="596"/>
      <c r="P1884" s="596"/>
      <c r="Q1884" s="521"/>
      <c r="R1884" s="599" t="s">
        <v>16</v>
      </c>
      <c r="S1884" s="599">
        <v>2</v>
      </c>
      <c r="T1884" s="596" t="e">
        <f t="shared" ref="T1884:T1887" si="177">(E1884+U1884)/2/(SIN(RADIANS((ATAN(((E1884+U1884)-(F1884+U1884))/2/C1884)*180/PI()))))*2</f>
        <v>#DIV/0!</v>
      </c>
      <c r="U1884" s="599">
        <f>U1868</f>
        <v>0</v>
      </c>
      <c r="V1884" s="596" t="str">
        <f t="shared" ref="V1884:V1887" si="178">B1884&amp;"-"&amp;C1884&amp;"x"&amp;E1884&amp;"x"&amp;D1884</f>
        <v>RE-252x114,3x100</v>
      </c>
    </row>
    <row r="1885" spans="1:22" s="598" customFormat="1">
      <c r="A1885" s="594" t="s">
        <v>2028</v>
      </c>
      <c r="B1885" s="462" t="s">
        <v>1999</v>
      </c>
      <c r="C1885" s="462">
        <v>252</v>
      </c>
      <c r="D1885" s="462">
        <v>100</v>
      </c>
      <c r="E1885" s="600">
        <v>117.6</v>
      </c>
      <c r="F1885" s="462">
        <v>101.6</v>
      </c>
      <c r="G1885" s="601">
        <v>2.2490000000000001</v>
      </c>
      <c r="H1885" s="595"/>
      <c r="I1885" s="596"/>
      <c r="J1885" s="597"/>
      <c r="L1885" s="596"/>
      <c r="M1885" s="596"/>
      <c r="N1885" s="596"/>
      <c r="O1885" s="596"/>
      <c r="P1885" s="596"/>
      <c r="Q1885" s="521"/>
      <c r="R1885" s="599" t="s">
        <v>16</v>
      </c>
      <c r="S1885" s="599">
        <v>2</v>
      </c>
      <c r="T1885" s="596">
        <f>(E1885+U1885)/2/(SIN(RADIANS((ATAN(((E1885+U1885)-(F1885+U1885))/2/C1885)*180/PI()))))*2</f>
        <v>3706.2661965919287</v>
      </c>
      <c r="U1885" s="599">
        <f>U1870</f>
        <v>0</v>
      </c>
      <c r="V1885" s="596" t="str">
        <f>B1885&amp;"-"&amp;C1885&amp;"x"&amp;E1885&amp;"x"&amp;D1885</f>
        <v>RE-252x117,6x100</v>
      </c>
    </row>
    <row r="1886" spans="1:22" s="598" customFormat="1">
      <c r="A1886" s="594" t="s">
        <v>2029</v>
      </c>
      <c r="B1886" s="462" t="s">
        <v>1999</v>
      </c>
      <c r="C1886" s="462">
        <v>252</v>
      </c>
      <c r="D1886" s="462">
        <v>100</v>
      </c>
      <c r="E1886" s="600">
        <v>124.2</v>
      </c>
      <c r="F1886" s="462">
        <v>76.2</v>
      </c>
      <c r="G1886" s="601">
        <v>2.056</v>
      </c>
      <c r="H1886" s="595"/>
      <c r="I1886" s="596"/>
      <c r="J1886" s="597"/>
      <c r="L1886" s="596"/>
      <c r="M1886" s="596"/>
      <c r="N1886" s="596"/>
      <c r="O1886" s="596"/>
      <c r="P1886" s="596"/>
      <c r="Q1886" s="521"/>
      <c r="R1886" s="599" t="s">
        <v>16</v>
      </c>
      <c r="S1886" s="599">
        <v>2</v>
      </c>
      <c r="T1886" s="596">
        <f t="shared" si="177"/>
        <v>1310.00093511417</v>
      </c>
      <c r="U1886" s="599">
        <f>U1869</f>
        <v>0</v>
      </c>
      <c r="V1886" s="596" t="str">
        <f t="shared" si="178"/>
        <v>RE-252x124,2x100</v>
      </c>
    </row>
    <row r="1887" spans="1:22" s="598" customFormat="1">
      <c r="A1887" s="602" t="s">
        <v>2163</v>
      </c>
      <c r="B1887" s="462" t="s">
        <v>1999</v>
      </c>
      <c r="C1887" s="462">
        <v>252</v>
      </c>
      <c r="D1887" s="462">
        <v>100</v>
      </c>
      <c r="E1887" s="600">
        <v>127.5</v>
      </c>
      <c r="F1887" s="462">
        <v>76.2</v>
      </c>
      <c r="G1887" s="601">
        <v>1.96</v>
      </c>
      <c r="H1887" s="595"/>
      <c r="I1887" s="596"/>
      <c r="J1887" s="597"/>
      <c r="L1887" s="596"/>
      <c r="M1887" s="596"/>
      <c r="N1887" s="596"/>
      <c r="O1887" s="596"/>
      <c r="P1887" s="596"/>
      <c r="Q1887" s="521"/>
      <c r="R1887" s="599" t="s">
        <v>16</v>
      </c>
      <c r="S1887" s="599">
        <v>2</v>
      </c>
      <c r="T1887" s="596">
        <f t="shared" si="177"/>
        <v>1259.1036981028121</v>
      </c>
      <c r="U1887" s="599">
        <f>U1870</f>
        <v>0</v>
      </c>
      <c r="V1887" s="596" t="str">
        <f t="shared" si="178"/>
        <v>RE-252x127,5x100</v>
      </c>
    </row>
    <row r="1888" spans="1:22" s="603" customFormat="1">
      <c r="B1888" s="604"/>
      <c r="C1888" s="604"/>
      <c r="D1888" s="604"/>
      <c r="E1888" s="604"/>
      <c r="F1888" s="604"/>
      <c r="G1888" s="605"/>
      <c r="H1888" s="605"/>
      <c r="Q1888" s="606"/>
      <c r="R1888" s="604"/>
    </row>
    <row r="1889" spans="1:22" s="598" customFormat="1">
      <c r="A1889" s="594" t="s">
        <v>2030</v>
      </c>
      <c r="B1889" s="462" t="s">
        <v>1999</v>
      </c>
      <c r="C1889" s="462">
        <v>302</v>
      </c>
      <c r="D1889" s="462">
        <v>100</v>
      </c>
      <c r="E1889" s="600">
        <v>116.9</v>
      </c>
      <c r="F1889" s="462">
        <v>101.6</v>
      </c>
      <c r="G1889" s="601">
        <v>2.7879999999999998</v>
      </c>
      <c r="H1889" s="595"/>
      <c r="I1889" s="596"/>
      <c r="J1889" s="597"/>
      <c r="L1889" s="596"/>
      <c r="M1889" s="596"/>
      <c r="N1889" s="596"/>
      <c r="O1889" s="596"/>
      <c r="P1889" s="596"/>
      <c r="Q1889" s="521"/>
      <c r="R1889" s="599" t="s">
        <v>16</v>
      </c>
      <c r="S1889" s="599">
        <v>2</v>
      </c>
      <c r="T1889" s="596">
        <f t="shared" ref="T1889:T1891" si="179">(E1889+U1889)/2/(SIN(RADIANS((ATAN(((E1889+U1889)-(F1889+U1889))/2/C1889)*180/PI()))))*2</f>
        <v>4616.3561838609312</v>
      </c>
      <c r="U1889" s="599">
        <f>U1872</f>
        <v>0</v>
      </c>
      <c r="V1889" s="596" t="str">
        <f t="shared" ref="V1889:V1891" si="180">B1889&amp;"-"&amp;C1889&amp;"x"&amp;E1889&amp;"x"&amp;D1889</f>
        <v>RE-302x116,9x100</v>
      </c>
    </row>
    <row r="1890" spans="1:22" s="598" customFormat="1">
      <c r="A1890" s="594" t="s">
        <v>2031</v>
      </c>
      <c r="B1890" s="462" t="s">
        <v>1999</v>
      </c>
      <c r="C1890" s="462">
        <v>302</v>
      </c>
      <c r="D1890" s="462">
        <v>100</v>
      </c>
      <c r="E1890" s="600">
        <v>122.2</v>
      </c>
      <c r="F1890" s="462">
        <v>76.2</v>
      </c>
      <c r="G1890" s="601">
        <v>2.532</v>
      </c>
      <c r="H1890" s="595"/>
      <c r="I1890" s="596"/>
      <c r="J1890" s="597"/>
      <c r="L1890" s="596"/>
      <c r="M1890" s="596"/>
      <c r="N1890" s="596"/>
      <c r="O1890" s="596"/>
      <c r="P1890" s="596"/>
      <c r="Q1890" s="521"/>
      <c r="R1890" s="599" t="s">
        <v>16</v>
      </c>
      <c r="S1890" s="599">
        <v>2</v>
      </c>
      <c r="T1890" s="596">
        <f t="shared" si="179"/>
        <v>1609.1857136752142</v>
      </c>
      <c r="U1890" s="599">
        <f>U1873</f>
        <v>0</v>
      </c>
      <c r="V1890" s="596" t="str">
        <f t="shared" si="180"/>
        <v>RE-302x122,2x100</v>
      </c>
    </row>
    <row r="1891" spans="1:22" s="598" customFormat="1">
      <c r="A1891" s="602" t="s">
        <v>2164</v>
      </c>
      <c r="B1891" s="462" t="s">
        <v>1999</v>
      </c>
      <c r="C1891" s="462">
        <v>302</v>
      </c>
      <c r="D1891" s="462">
        <v>100</v>
      </c>
      <c r="E1891" s="600">
        <v>127.5</v>
      </c>
      <c r="F1891" s="462">
        <v>76.2</v>
      </c>
      <c r="G1891" s="601">
        <v>2.2749999999999999</v>
      </c>
      <c r="H1891" s="595"/>
      <c r="I1891" s="596"/>
      <c r="J1891" s="597"/>
      <c r="L1891" s="596"/>
      <c r="M1891" s="596"/>
      <c r="N1891" s="596"/>
      <c r="O1891" s="596"/>
      <c r="P1891" s="596"/>
      <c r="Q1891" s="521"/>
      <c r="R1891" s="599" t="s">
        <v>16</v>
      </c>
      <c r="S1891" s="599">
        <v>2</v>
      </c>
      <c r="T1891" s="596">
        <f t="shared" si="179"/>
        <v>1506.5743890933823</v>
      </c>
      <c r="U1891" s="599">
        <f>U1874</f>
        <v>0</v>
      </c>
      <c r="V1891" s="596" t="str">
        <f t="shared" si="180"/>
        <v>RE-302x127,5x100</v>
      </c>
    </row>
    <row r="1892" spans="1:22" s="603" customFormat="1">
      <c r="B1892" s="604"/>
      <c r="C1892" s="604"/>
      <c r="D1892" s="604"/>
      <c r="E1892" s="604"/>
      <c r="F1892" s="604"/>
      <c r="G1892" s="605"/>
      <c r="H1892" s="605"/>
      <c r="Q1892" s="606"/>
      <c r="R1892" s="604"/>
    </row>
    <row r="1893" spans="1:22" s="598" customFormat="1">
      <c r="A1893" s="594" t="s">
        <v>2032</v>
      </c>
      <c r="B1893" s="462" t="s">
        <v>1999</v>
      </c>
      <c r="C1893" s="462">
        <v>352</v>
      </c>
      <c r="D1893" s="462">
        <v>100</v>
      </c>
      <c r="E1893" s="600">
        <v>154.6</v>
      </c>
      <c r="F1893" s="462">
        <v>139.69999999999999</v>
      </c>
      <c r="G1893" s="601">
        <v>4.4909999999999997</v>
      </c>
      <c r="H1893" s="595"/>
      <c r="I1893" s="596"/>
      <c r="J1893" s="597"/>
      <c r="L1893" s="596"/>
      <c r="M1893" s="596"/>
      <c r="N1893" s="596"/>
      <c r="O1893" s="596"/>
      <c r="P1893" s="596"/>
      <c r="Q1893" s="521"/>
      <c r="R1893" s="599" t="s">
        <v>16</v>
      </c>
      <c r="S1893" s="599">
        <v>2</v>
      </c>
      <c r="T1893" s="596">
        <f t="shared" ref="T1893:T1895" si="181">(E1893+U1893)/2/(SIN(RADIANS((ATAN(((E1893+U1893)-(F1893+U1893))/2/C1893)*180/PI()))))*2</f>
        <v>7306.2264577849783</v>
      </c>
      <c r="U1893" s="599">
        <f>U1876</f>
        <v>0</v>
      </c>
      <c r="V1893" s="596" t="str">
        <f t="shared" ref="V1893:V1895" si="182">B1893&amp;"-"&amp;C1893&amp;"x"&amp;E1893&amp;"x"&amp;D1893</f>
        <v>RE-352x154,6x100</v>
      </c>
    </row>
    <row r="1894" spans="1:22" s="598" customFormat="1">
      <c r="A1894" s="594" t="s">
        <v>2033</v>
      </c>
      <c r="B1894" s="462" t="s">
        <v>1999</v>
      </c>
      <c r="C1894" s="462">
        <v>352</v>
      </c>
      <c r="D1894" s="462">
        <v>100</v>
      </c>
      <c r="E1894" s="600">
        <v>159</v>
      </c>
      <c r="F1894" s="462">
        <v>114.3</v>
      </c>
      <c r="G1894" s="601">
        <v>4.1710000000000003</v>
      </c>
      <c r="H1894" s="595"/>
      <c r="I1894" s="596"/>
      <c r="J1894" s="597"/>
      <c r="L1894" s="596"/>
      <c r="M1894" s="596"/>
      <c r="N1894" s="596"/>
      <c r="O1894" s="596"/>
      <c r="P1894" s="596"/>
      <c r="Q1894" s="521"/>
      <c r="R1894" s="599" t="s">
        <v>16</v>
      </c>
      <c r="S1894" s="599">
        <v>2</v>
      </c>
      <c r="T1894" s="596">
        <f t="shared" si="181"/>
        <v>2509.2037947649646</v>
      </c>
      <c r="U1894" s="599">
        <f>U1877</f>
        <v>0</v>
      </c>
      <c r="V1894" s="596" t="str">
        <f t="shared" si="182"/>
        <v>RE-352x159x100</v>
      </c>
    </row>
    <row r="1895" spans="1:22" s="598" customFormat="1">
      <c r="A1895" s="594" t="s">
        <v>2034</v>
      </c>
      <c r="B1895" s="462" t="s">
        <v>1999</v>
      </c>
      <c r="C1895" s="462">
        <v>352</v>
      </c>
      <c r="D1895" s="462">
        <v>100</v>
      </c>
      <c r="E1895" s="600">
        <v>165.6</v>
      </c>
      <c r="F1895" s="462">
        <v>76.2</v>
      </c>
      <c r="G1895" s="601">
        <v>3.69</v>
      </c>
      <c r="H1895" s="595"/>
      <c r="I1895" s="596"/>
      <c r="J1895" s="597"/>
      <c r="L1895" s="596"/>
      <c r="M1895" s="596"/>
      <c r="N1895" s="596"/>
      <c r="O1895" s="596"/>
      <c r="P1895" s="596"/>
      <c r="Q1895" s="521"/>
      <c r="R1895" s="599" t="s">
        <v>16</v>
      </c>
      <c r="S1895" s="599">
        <v>2</v>
      </c>
      <c r="T1895" s="596">
        <f t="shared" si="181"/>
        <v>1314.5262986066084</v>
      </c>
      <c r="U1895" s="599">
        <f>U1878</f>
        <v>0</v>
      </c>
      <c r="V1895" s="596" t="str">
        <f t="shared" si="182"/>
        <v>RE-352x165,6x100</v>
      </c>
    </row>
    <row r="1896" spans="1:22" s="603" customFormat="1">
      <c r="B1896" s="604"/>
      <c r="C1896" s="604"/>
      <c r="D1896" s="604"/>
      <c r="E1896" s="604"/>
      <c r="F1896" s="604"/>
      <c r="G1896" s="605"/>
      <c r="H1896" s="605"/>
      <c r="Q1896" s="606"/>
      <c r="R1896" s="604"/>
    </row>
    <row r="1897" spans="1:22" s="598" customFormat="1">
      <c r="A1897" s="594" t="s">
        <v>2035</v>
      </c>
      <c r="B1897" s="462" t="s">
        <v>1999</v>
      </c>
      <c r="C1897" s="462">
        <v>196.2</v>
      </c>
      <c r="D1897" s="462">
        <v>100</v>
      </c>
      <c r="E1897" s="462">
        <v>114.3</v>
      </c>
      <c r="F1897" s="462">
        <v>88.9</v>
      </c>
      <c r="G1897" s="595">
        <v>1.518</v>
      </c>
      <c r="H1897" s="595"/>
      <c r="I1897" s="596"/>
      <c r="J1897" s="597"/>
      <c r="L1897" s="596"/>
      <c r="M1897" s="596"/>
      <c r="N1897" s="596"/>
      <c r="O1897" s="596"/>
      <c r="P1897" s="596"/>
      <c r="Q1897" s="521"/>
      <c r="R1897" s="599" t="s">
        <v>16</v>
      </c>
      <c r="S1897" s="599">
        <v>2</v>
      </c>
      <c r="T1897" s="596">
        <f t="shared" ref="T1897:T1899" si="183">(E1897+U1897)/2/(SIN(RADIANS((ATAN(((E1897+U1897)-(F1897+U1897))/2/C1897)*180/PI()))))*2</f>
        <v>1769.4954450351097</v>
      </c>
      <c r="U1897" s="599">
        <f>U1884</f>
        <v>0</v>
      </c>
      <c r="V1897" s="596" t="str">
        <f t="shared" ref="V1897:V1899" si="184">B1897&amp;"-"&amp;C1897&amp;"x"&amp;E1897&amp;"x"&amp;D1897</f>
        <v>RE-196,2x114,3x100</v>
      </c>
    </row>
    <row r="1898" spans="1:22" s="598" customFormat="1">
      <c r="A1898" s="594" t="s">
        <v>2036</v>
      </c>
      <c r="B1898" s="462" t="s">
        <v>1999</v>
      </c>
      <c r="C1898" s="462">
        <v>196.2</v>
      </c>
      <c r="D1898" s="462">
        <v>100</v>
      </c>
      <c r="E1898" s="462">
        <v>114.3</v>
      </c>
      <c r="F1898" s="462">
        <v>114.3</v>
      </c>
      <c r="G1898" s="595">
        <v>1.708</v>
      </c>
      <c r="H1898" s="595"/>
      <c r="I1898" s="596"/>
      <c r="J1898" s="597"/>
      <c r="L1898" s="596"/>
      <c r="M1898" s="596"/>
      <c r="N1898" s="596"/>
      <c r="O1898" s="596"/>
      <c r="P1898" s="596"/>
      <c r="Q1898" s="521"/>
      <c r="R1898" s="599" t="s">
        <v>16</v>
      </c>
      <c r="S1898" s="599">
        <v>2</v>
      </c>
      <c r="T1898" s="596" t="e">
        <f t="shared" si="183"/>
        <v>#DIV/0!</v>
      </c>
      <c r="U1898" s="599">
        <f>U1885</f>
        <v>0</v>
      </c>
      <c r="V1898" s="596" t="str">
        <f t="shared" si="184"/>
        <v>RE-196,2x114,3x100</v>
      </c>
    </row>
    <row r="1899" spans="1:22" s="598" customFormat="1">
      <c r="A1899" s="594" t="s">
        <v>2037</v>
      </c>
      <c r="B1899" s="462" t="s">
        <v>1999</v>
      </c>
      <c r="C1899" s="462">
        <v>196.2</v>
      </c>
      <c r="D1899" s="462">
        <v>100</v>
      </c>
      <c r="E1899" s="462">
        <v>114.3</v>
      </c>
      <c r="F1899" s="462">
        <v>101.6</v>
      </c>
      <c r="G1899" s="595">
        <v>1.613</v>
      </c>
      <c r="H1899" s="595"/>
      <c r="I1899" s="596"/>
      <c r="J1899" s="597"/>
      <c r="L1899" s="596"/>
      <c r="M1899" s="596"/>
      <c r="N1899" s="596"/>
      <c r="O1899" s="596"/>
      <c r="P1899" s="596"/>
      <c r="Q1899" s="521"/>
      <c r="R1899" s="599" t="s">
        <v>16</v>
      </c>
      <c r="S1899" s="599">
        <v>2</v>
      </c>
      <c r="T1899" s="596">
        <f t="shared" si="183"/>
        <v>3533.4491718432841</v>
      </c>
      <c r="U1899" s="599">
        <f>U1886</f>
        <v>0</v>
      </c>
      <c r="V1899" s="596" t="str">
        <f t="shared" si="184"/>
        <v>RE-196,2x114,3x100</v>
      </c>
    </row>
  </sheetData>
  <sortState xmlns:xlrd2="http://schemas.microsoft.com/office/spreadsheetml/2017/richdata2" ref="A1066:F1106">
    <sortCondition ref="A1066"/>
  </sortState>
  <mergeCells count="35">
    <mergeCell ref="L1506:L1599"/>
    <mergeCell ref="L1465:L1504"/>
    <mergeCell ref="L946:L990"/>
    <mergeCell ref="L1053:L1064"/>
    <mergeCell ref="L1355:L1428"/>
    <mergeCell ref="L992:L1051"/>
    <mergeCell ref="L1430:L1456"/>
    <mergeCell ref="L1109:L1353"/>
    <mergeCell ref="H1374:K1384"/>
    <mergeCell ref="K68:K124"/>
    <mergeCell ref="K194:K224"/>
    <mergeCell ref="K630:K735"/>
    <mergeCell ref="K737:K769"/>
    <mergeCell ref="K127:K192"/>
    <mergeCell ref="K3:K66"/>
    <mergeCell ref="H1355:K1361"/>
    <mergeCell ref="H1362:K1367"/>
    <mergeCell ref="H1368:K1373"/>
    <mergeCell ref="L771:L943"/>
    <mergeCell ref="L1066:L1107"/>
    <mergeCell ref="H1448:K1456"/>
    <mergeCell ref="H1430:K1441"/>
    <mergeCell ref="H1442:K1447"/>
    <mergeCell ref="H1385:K1393"/>
    <mergeCell ref="H1402:K1407"/>
    <mergeCell ref="H1420:K1421"/>
    <mergeCell ref="H1408:K1412"/>
    <mergeCell ref="H1394:K1401"/>
    <mergeCell ref="H1413:K1419"/>
    <mergeCell ref="H1422:K1428"/>
    <mergeCell ref="L1764:L1842"/>
    <mergeCell ref="L1626:L1746"/>
    <mergeCell ref="L1748:L1762"/>
    <mergeCell ref="L1601:L1608"/>
    <mergeCell ref="L1610:L1624"/>
  </mergeCells>
  <phoneticPr fontId="6" type="noConversion"/>
  <conditionalFormatting sqref="D1600:F1600 R1600:S1600 D1461:F1461 D1464:F1464 R1464:S1464 R226:R257 R1358:S1359 F1358:F1359 F1361:F1373 R1361:S1384 D1457:F1457 R1436:S1450 R629:S629 F474:F503 F226:F273 F416:F470 S551 F505:F628 R1457:S1461 F946:F1067 D946:D1067 D1069:D1077 R1069:S1077 R1085:S1085 D1085 D1087 R1087:S1087 R1089:S1091 R1093:S1093 D1097 R1097:S1097 R1099:S1099 D1099 D1101 R1101:S1101 R1103:S1105 D1103:D1105 D1093 D1089:D1091 R1095:S1095 D1095 R1079:S1079 D1081:D1083 R1081:S1083 D1079 S226:S469 R775:S1067 D775:D943 F775:F944 F196:F224 R196:S225 R193:S194 F193:F194 R770:S773 D770:D773 F770:F773 F1354:F1355 R1354:S1355 D1354 F4 D1107:D1221 F1107:F1221 R1107:S1221">
    <cfRule type="cellIs" dxfId="1454" priority="602" stopIfTrue="1" operator="equal">
      <formula>"?????"</formula>
    </cfRule>
  </conditionalFormatting>
  <conditionalFormatting sqref="F1601">
    <cfRule type="cellIs" dxfId="1453" priority="429" stopIfTrue="1" operator="equal">
      <formula>"?????"</formula>
    </cfRule>
  </conditionalFormatting>
  <conditionalFormatting sqref="D1505:F1505 R1505:S1505">
    <cfRule type="cellIs" dxfId="1452" priority="428" stopIfTrue="1" operator="equal">
      <formula>"?????"</formula>
    </cfRule>
  </conditionalFormatting>
  <conditionalFormatting sqref="F1602">
    <cfRule type="cellIs" dxfId="1451" priority="427" stopIfTrue="1" operator="equal">
      <formula>"?????"</formula>
    </cfRule>
  </conditionalFormatting>
  <conditionalFormatting sqref="D1609:F1609 R1609:S1609">
    <cfRule type="cellIs" dxfId="1450" priority="426" stopIfTrue="1" operator="equal">
      <formula>"?????"</formula>
    </cfRule>
  </conditionalFormatting>
  <conditionalFormatting sqref="D1625:F1625 R1625:S1625">
    <cfRule type="cellIs" dxfId="1449" priority="425" stopIfTrue="1" operator="equal">
      <formula>"?????"</formula>
    </cfRule>
  </conditionalFormatting>
  <conditionalFormatting sqref="D1747:F1747 R1747:S1747">
    <cfRule type="cellIs" dxfId="1448" priority="424" stopIfTrue="1" operator="equal">
      <formula>"?????"</formula>
    </cfRule>
  </conditionalFormatting>
  <conditionalFormatting sqref="R262:S262">
    <cfRule type="cellIs" dxfId="1447" priority="423" stopIfTrue="1" operator="equal">
      <formula>"?????"</formula>
    </cfRule>
  </conditionalFormatting>
  <conditionalFormatting sqref="R469:S469">
    <cfRule type="cellIs" dxfId="1446" priority="422" stopIfTrue="1" operator="equal">
      <formula>"?????"</formula>
    </cfRule>
  </conditionalFormatting>
  <conditionalFormatting sqref="R551:S551">
    <cfRule type="cellIs" dxfId="1445" priority="421" stopIfTrue="1" operator="equal">
      <formula>"?????"</formula>
    </cfRule>
  </conditionalFormatting>
  <conditionalFormatting sqref="D1763:F1763 R1763:S1763">
    <cfRule type="cellIs" dxfId="1444" priority="420" stopIfTrue="1" operator="equal">
      <formula>"?????"</formula>
    </cfRule>
  </conditionalFormatting>
  <conditionalFormatting sqref="R1108:S1108">
    <cfRule type="cellIs" dxfId="1443" priority="416" stopIfTrue="1" operator="equal">
      <formula>"?????"</formula>
    </cfRule>
  </conditionalFormatting>
  <conditionalFormatting sqref="F1109 R1109:S1109">
    <cfRule type="cellIs" dxfId="1442" priority="415" stopIfTrue="1" operator="equal">
      <formula>"?????"</formula>
    </cfRule>
  </conditionalFormatting>
  <conditionalFormatting sqref="D1221">
    <cfRule type="cellIs" dxfId="1441" priority="412" stopIfTrue="1" operator="equal">
      <formula>"?????"</formula>
    </cfRule>
  </conditionalFormatting>
  <conditionalFormatting sqref="R1356:S1356 F1356">
    <cfRule type="cellIs" dxfId="1440" priority="411" stopIfTrue="1" operator="equal">
      <formula>"?????"</formula>
    </cfRule>
  </conditionalFormatting>
  <conditionalFormatting sqref="R1357:S1357 F1357">
    <cfRule type="cellIs" dxfId="1439" priority="410" stopIfTrue="1" operator="equal">
      <formula>"?????"</formula>
    </cfRule>
  </conditionalFormatting>
  <conditionalFormatting sqref="R1360:S1360 F1360">
    <cfRule type="cellIs" dxfId="1438" priority="409" stopIfTrue="1" operator="equal">
      <formula>"?????"</formula>
    </cfRule>
  </conditionalFormatting>
  <conditionalFormatting sqref="F1374">
    <cfRule type="cellIs" dxfId="1437" priority="408" stopIfTrue="1" operator="equal">
      <formula>"?????"</formula>
    </cfRule>
  </conditionalFormatting>
  <conditionalFormatting sqref="F1375">
    <cfRule type="cellIs" dxfId="1436" priority="407" stopIfTrue="1" operator="equal">
      <formula>"?????"</formula>
    </cfRule>
  </conditionalFormatting>
  <conditionalFormatting sqref="F1376">
    <cfRule type="cellIs" dxfId="1435" priority="406" stopIfTrue="1" operator="equal">
      <formula>"?????"</formula>
    </cfRule>
  </conditionalFormatting>
  <conditionalFormatting sqref="F1377">
    <cfRule type="cellIs" dxfId="1434" priority="405" stopIfTrue="1" operator="equal">
      <formula>"?????"</formula>
    </cfRule>
  </conditionalFormatting>
  <conditionalFormatting sqref="F1378">
    <cfRule type="cellIs" dxfId="1433" priority="404" stopIfTrue="1" operator="equal">
      <formula>"?????"</formula>
    </cfRule>
  </conditionalFormatting>
  <conditionalFormatting sqref="F1379">
    <cfRule type="cellIs" dxfId="1432" priority="403" stopIfTrue="1" operator="equal">
      <formula>"?????"</formula>
    </cfRule>
  </conditionalFormatting>
  <conditionalFormatting sqref="F1380">
    <cfRule type="cellIs" dxfId="1431" priority="402" stopIfTrue="1" operator="equal">
      <formula>"?????"</formula>
    </cfRule>
  </conditionalFormatting>
  <conditionalFormatting sqref="F1381">
    <cfRule type="cellIs" dxfId="1430" priority="401" stopIfTrue="1" operator="equal">
      <formula>"?????"</formula>
    </cfRule>
  </conditionalFormatting>
  <conditionalFormatting sqref="F1382">
    <cfRule type="cellIs" dxfId="1429" priority="400" stopIfTrue="1" operator="equal">
      <formula>"?????"</formula>
    </cfRule>
  </conditionalFormatting>
  <conditionalFormatting sqref="F1383">
    <cfRule type="cellIs" dxfId="1428" priority="399" stopIfTrue="1" operator="equal">
      <formula>"?????"</formula>
    </cfRule>
  </conditionalFormatting>
  <conditionalFormatting sqref="F1384">
    <cfRule type="cellIs" dxfId="1427" priority="398" stopIfTrue="1" operator="equal">
      <formula>"?????"</formula>
    </cfRule>
  </conditionalFormatting>
  <conditionalFormatting sqref="R1404:S1404">
    <cfRule type="cellIs" dxfId="1426" priority="366" stopIfTrue="1" operator="equal">
      <formula>"?????"</formula>
    </cfRule>
  </conditionalFormatting>
  <conditionalFormatting sqref="F1404">
    <cfRule type="cellIs" dxfId="1425" priority="365" stopIfTrue="1" operator="equal">
      <formula>"?????"</formula>
    </cfRule>
  </conditionalFormatting>
  <conditionalFormatting sqref="R1385:S1385">
    <cfRule type="cellIs" dxfId="1424" priority="394" stopIfTrue="1" operator="equal">
      <formula>"?????"</formula>
    </cfRule>
  </conditionalFormatting>
  <conditionalFormatting sqref="F1385">
    <cfRule type="cellIs" dxfId="1423" priority="393" stopIfTrue="1" operator="equal">
      <formula>"?????"</formula>
    </cfRule>
  </conditionalFormatting>
  <conditionalFormatting sqref="R1386:S1386">
    <cfRule type="cellIs" dxfId="1422" priority="392" stopIfTrue="1" operator="equal">
      <formula>"?????"</formula>
    </cfRule>
  </conditionalFormatting>
  <conditionalFormatting sqref="F1386">
    <cfRule type="cellIs" dxfId="1421" priority="391" stopIfTrue="1" operator="equal">
      <formula>"?????"</formula>
    </cfRule>
  </conditionalFormatting>
  <conditionalFormatting sqref="R1387:S1387">
    <cfRule type="cellIs" dxfId="1420" priority="390" stopIfTrue="1" operator="equal">
      <formula>"?????"</formula>
    </cfRule>
  </conditionalFormatting>
  <conditionalFormatting sqref="F1387">
    <cfRule type="cellIs" dxfId="1419" priority="389" stopIfTrue="1" operator="equal">
      <formula>"?????"</formula>
    </cfRule>
  </conditionalFormatting>
  <conditionalFormatting sqref="F1421">
    <cfRule type="cellIs" dxfId="1418" priority="355" stopIfTrue="1" operator="equal">
      <formula>"?????"</formula>
    </cfRule>
  </conditionalFormatting>
  <conditionalFormatting sqref="F1401">
    <cfRule type="cellIs" dxfId="1417" priority="325" stopIfTrue="1" operator="equal">
      <formula>"?????"</formula>
    </cfRule>
  </conditionalFormatting>
  <conditionalFormatting sqref="R1388:S1388">
    <cfRule type="cellIs" dxfId="1416" priority="388" stopIfTrue="1" operator="equal">
      <formula>"?????"</formula>
    </cfRule>
  </conditionalFormatting>
  <conditionalFormatting sqref="F1388">
    <cfRule type="cellIs" dxfId="1415" priority="387" stopIfTrue="1" operator="equal">
      <formula>"?????"</formula>
    </cfRule>
  </conditionalFormatting>
  <conditionalFormatting sqref="R1389:S1389">
    <cfRule type="cellIs" dxfId="1414" priority="386" stopIfTrue="1" operator="equal">
      <formula>"?????"</formula>
    </cfRule>
  </conditionalFormatting>
  <conditionalFormatting sqref="F1389">
    <cfRule type="cellIs" dxfId="1413" priority="385" stopIfTrue="1" operator="equal">
      <formula>"?????"</formula>
    </cfRule>
  </conditionalFormatting>
  <conditionalFormatting sqref="R1403:S1403">
    <cfRule type="cellIs" dxfId="1412" priority="368" stopIfTrue="1" operator="equal">
      <formula>"?????"</formula>
    </cfRule>
  </conditionalFormatting>
  <conditionalFormatting sqref="F1403">
    <cfRule type="cellIs" dxfId="1411" priority="367" stopIfTrue="1" operator="equal">
      <formula>"?????"</formula>
    </cfRule>
  </conditionalFormatting>
  <conditionalFormatting sqref="R1390:S1390">
    <cfRule type="cellIs" dxfId="1410" priority="382" stopIfTrue="1" operator="equal">
      <formula>"?????"</formula>
    </cfRule>
  </conditionalFormatting>
  <conditionalFormatting sqref="F1390">
    <cfRule type="cellIs" dxfId="1409" priority="381" stopIfTrue="1" operator="equal">
      <formula>"?????"</formula>
    </cfRule>
  </conditionalFormatting>
  <conditionalFormatting sqref="R1405:S1405">
    <cfRule type="cellIs" dxfId="1408" priority="364" stopIfTrue="1" operator="equal">
      <formula>"?????"</formula>
    </cfRule>
  </conditionalFormatting>
  <conditionalFormatting sqref="F1405">
    <cfRule type="cellIs" dxfId="1407" priority="363" stopIfTrue="1" operator="equal">
      <formula>"?????"</formula>
    </cfRule>
  </conditionalFormatting>
  <conditionalFormatting sqref="R1391:S1391">
    <cfRule type="cellIs" dxfId="1406" priority="378" stopIfTrue="1" operator="equal">
      <formula>"?????"</formula>
    </cfRule>
  </conditionalFormatting>
  <conditionalFormatting sqref="F1391">
    <cfRule type="cellIs" dxfId="1405" priority="377" stopIfTrue="1" operator="equal">
      <formula>"?????"</formula>
    </cfRule>
  </conditionalFormatting>
  <conditionalFormatting sqref="R1392:S1392">
    <cfRule type="cellIs" dxfId="1404" priority="376" stopIfTrue="1" operator="equal">
      <formula>"?????"</formula>
    </cfRule>
  </conditionalFormatting>
  <conditionalFormatting sqref="F1392">
    <cfRule type="cellIs" dxfId="1403" priority="375" stopIfTrue="1" operator="equal">
      <formula>"?????"</formula>
    </cfRule>
  </conditionalFormatting>
  <conditionalFormatting sqref="R1393:S1393">
    <cfRule type="cellIs" dxfId="1402" priority="374" stopIfTrue="1" operator="equal">
      <formula>"?????"</formula>
    </cfRule>
  </conditionalFormatting>
  <conditionalFormatting sqref="F1393">
    <cfRule type="cellIs" dxfId="1401" priority="373" stopIfTrue="1" operator="equal">
      <formula>"?????"</formula>
    </cfRule>
  </conditionalFormatting>
  <conditionalFormatting sqref="R1421:S1421">
    <cfRule type="cellIs" dxfId="1400" priority="356" stopIfTrue="1" operator="equal">
      <formula>"?????"</formula>
    </cfRule>
  </conditionalFormatting>
  <conditionalFormatting sqref="F1413:F1419 R1413:S1419">
    <cfRule type="cellIs" dxfId="1399" priority="324" stopIfTrue="1" operator="equal">
      <formula>"?????"</formula>
    </cfRule>
  </conditionalFormatting>
  <conditionalFormatting sqref="R1402:S1402">
    <cfRule type="cellIs" dxfId="1398" priority="370" stopIfTrue="1" operator="equal">
      <formula>"?????"</formula>
    </cfRule>
  </conditionalFormatting>
  <conditionalFormatting sqref="F1402">
    <cfRule type="cellIs" dxfId="1397" priority="369" stopIfTrue="1" operator="equal">
      <formula>"?????"</formula>
    </cfRule>
  </conditionalFormatting>
  <conditionalFormatting sqref="R1408:S1408">
    <cfRule type="cellIs" dxfId="1396" priority="354" stopIfTrue="1" operator="equal">
      <formula>"?????"</formula>
    </cfRule>
  </conditionalFormatting>
  <conditionalFormatting sqref="F1408">
    <cfRule type="cellIs" dxfId="1395" priority="353" stopIfTrue="1" operator="equal">
      <formula>"?????"</formula>
    </cfRule>
  </conditionalFormatting>
  <conditionalFormatting sqref="R1410:S1410">
    <cfRule type="cellIs" dxfId="1394" priority="350" stopIfTrue="1" operator="equal">
      <formula>"?????"</formula>
    </cfRule>
  </conditionalFormatting>
  <conditionalFormatting sqref="F1410">
    <cfRule type="cellIs" dxfId="1393" priority="349" stopIfTrue="1" operator="equal">
      <formula>"?????"</formula>
    </cfRule>
  </conditionalFormatting>
  <conditionalFormatting sqref="R1411:S1411">
    <cfRule type="cellIs" dxfId="1392" priority="348" stopIfTrue="1" operator="equal">
      <formula>"?????"</formula>
    </cfRule>
  </conditionalFormatting>
  <conditionalFormatting sqref="R1406:S1406">
    <cfRule type="cellIs" dxfId="1391" priority="362" stopIfTrue="1" operator="equal">
      <formula>"?????"</formula>
    </cfRule>
  </conditionalFormatting>
  <conditionalFormatting sqref="F1406">
    <cfRule type="cellIs" dxfId="1390" priority="361" stopIfTrue="1" operator="equal">
      <formula>"?????"</formula>
    </cfRule>
  </conditionalFormatting>
  <conditionalFormatting sqref="R1407:S1407">
    <cfRule type="cellIs" dxfId="1389" priority="360" stopIfTrue="1" operator="equal">
      <formula>"?????"</formula>
    </cfRule>
  </conditionalFormatting>
  <conditionalFormatting sqref="F1407">
    <cfRule type="cellIs" dxfId="1388" priority="359" stopIfTrue="1" operator="equal">
      <formula>"?????"</formula>
    </cfRule>
  </conditionalFormatting>
  <conditionalFormatting sqref="R1420:S1420">
    <cfRule type="cellIs" dxfId="1387" priority="358" stopIfTrue="1" operator="equal">
      <formula>"?????"</formula>
    </cfRule>
  </conditionalFormatting>
  <conditionalFormatting sqref="F1420">
    <cfRule type="cellIs" dxfId="1386" priority="357" stopIfTrue="1" operator="equal">
      <formula>"?????"</formula>
    </cfRule>
  </conditionalFormatting>
  <conditionalFormatting sqref="R1401:S1401">
    <cfRule type="cellIs" dxfId="1385" priority="326" stopIfTrue="1" operator="equal">
      <formula>"?????"</formula>
    </cfRule>
  </conditionalFormatting>
  <conditionalFormatting sqref="F1422:F1428 R1422:S1428">
    <cfRule type="cellIs" dxfId="1384" priority="323" stopIfTrue="1" operator="equal">
      <formula>"?????"</formula>
    </cfRule>
  </conditionalFormatting>
  <conditionalFormatting sqref="R1395:S1395">
    <cfRule type="cellIs" dxfId="1383" priority="338" stopIfTrue="1" operator="equal">
      <formula>"?????"</formula>
    </cfRule>
  </conditionalFormatting>
  <conditionalFormatting sqref="F1395">
    <cfRule type="cellIs" dxfId="1382" priority="337" stopIfTrue="1" operator="equal">
      <formula>"?????"</formula>
    </cfRule>
  </conditionalFormatting>
  <conditionalFormatting sqref="R1409:S1409">
    <cfRule type="cellIs" dxfId="1381" priority="352" stopIfTrue="1" operator="equal">
      <formula>"?????"</formula>
    </cfRule>
  </conditionalFormatting>
  <conditionalFormatting sqref="F1409">
    <cfRule type="cellIs" dxfId="1380" priority="351" stopIfTrue="1" operator="equal">
      <formula>"?????"</formula>
    </cfRule>
  </conditionalFormatting>
  <conditionalFormatting sqref="R1397:S1397">
    <cfRule type="cellIs" dxfId="1379" priority="334" stopIfTrue="1" operator="equal">
      <formula>"?????"</formula>
    </cfRule>
  </conditionalFormatting>
  <conditionalFormatting sqref="F1397">
    <cfRule type="cellIs" dxfId="1378" priority="333" stopIfTrue="1" operator="equal">
      <formula>"?????"</formula>
    </cfRule>
  </conditionalFormatting>
  <conditionalFormatting sqref="F1411">
    <cfRule type="cellIs" dxfId="1377" priority="347" stopIfTrue="1" operator="equal">
      <formula>"?????"</formula>
    </cfRule>
  </conditionalFormatting>
  <conditionalFormatting sqref="R1412:S1412">
    <cfRule type="cellIs" dxfId="1376" priority="346" stopIfTrue="1" operator="equal">
      <formula>"?????"</formula>
    </cfRule>
  </conditionalFormatting>
  <conditionalFormatting sqref="F1412">
    <cfRule type="cellIs" dxfId="1375" priority="345" stopIfTrue="1" operator="equal">
      <formula>"?????"</formula>
    </cfRule>
  </conditionalFormatting>
  <conditionalFormatting sqref="R1400:S1400">
    <cfRule type="cellIs" dxfId="1374" priority="328" stopIfTrue="1" operator="equal">
      <formula>"?????"</formula>
    </cfRule>
  </conditionalFormatting>
  <conditionalFormatting sqref="F1400">
    <cfRule type="cellIs" dxfId="1373" priority="327" stopIfTrue="1" operator="equal">
      <formula>"?????"</formula>
    </cfRule>
  </conditionalFormatting>
  <conditionalFormatting sqref="R1394:S1394">
    <cfRule type="cellIs" dxfId="1372" priority="340" stopIfTrue="1" operator="equal">
      <formula>"?????"</formula>
    </cfRule>
  </conditionalFormatting>
  <conditionalFormatting sqref="F1394">
    <cfRule type="cellIs" dxfId="1371" priority="339" stopIfTrue="1" operator="equal">
      <formula>"?????"</formula>
    </cfRule>
  </conditionalFormatting>
  <conditionalFormatting sqref="R1396:S1396">
    <cfRule type="cellIs" dxfId="1370" priority="336" stopIfTrue="1" operator="equal">
      <formula>"?????"</formula>
    </cfRule>
  </conditionalFormatting>
  <conditionalFormatting sqref="F1396">
    <cfRule type="cellIs" dxfId="1369" priority="335" stopIfTrue="1" operator="equal">
      <formula>"?????"</formula>
    </cfRule>
  </conditionalFormatting>
  <conditionalFormatting sqref="R1398:S1398">
    <cfRule type="cellIs" dxfId="1368" priority="332" stopIfTrue="1" operator="equal">
      <formula>"?????"</formula>
    </cfRule>
  </conditionalFormatting>
  <conditionalFormatting sqref="F1398">
    <cfRule type="cellIs" dxfId="1367" priority="331" stopIfTrue="1" operator="equal">
      <formula>"?????"</formula>
    </cfRule>
  </conditionalFormatting>
  <conditionalFormatting sqref="R1399:S1399">
    <cfRule type="cellIs" dxfId="1366" priority="330" stopIfTrue="1" operator="equal">
      <formula>"?????"</formula>
    </cfRule>
  </conditionalFormatting>
  <conditionalFormatting sqref="F1399">
    <cfRule type="cellIs" dxfId="1365" priority="329" stopIfTrue="1" operator="equal">
      <formula>"?????"</formula>
    </cfRule>
  </conditionalFormatting>
  <conditionalFormatting sqref="D1429 F1429 R1429:S1430 R1433:S1434">
    <cfRule type="cellIs" dxfId="1364" priority="322" stopIfTrue="1" operator="equal">
      <formula>"?????"</formula>
    </cfRule>
  </conditionalFormatting>
  <conditionalFormatting sqref="R1431:S1431">
    <cfRule type="cellIs" dxfId="1363" priority="321" stopIfTrue="1" operator="equal">
      <formula>"?????"</formula>
    </cfRule>
  </conditionalFormatting>
  <conditionalFormatting sqref="R1432:S1432">
    <cfRule type="cellIs" dxfId="1362" priority="320" stopIfTrue="1" operator="equal">
      <formula>"?????"</formula>
    </cfRule>
  </conditionalFormatting>
  <conditionalFormatting sqref="R1435:S1435">
    <cfRule type="cellIs" dxfId="1361" priority="319" stopIfTrue="1" operator="equal">
      <formula>"?????"</formula>
    </cfRule>
  </conditionalFormatting>
  <conditionalFormatting sqref="F1430:F1441">
    <cfRule type="cellIs" dxfId="1360" priority="318" stopIfTrue="1" operator="equal">
      <formula>"?????"</formula>
    </cfRule>
  </conditionalFormatting>
  <conditionalFormatting sqref="R1451:S1451">
    <cfRule type="cellIs" dxfId="1359" priority="317" stopIfTrue="1" operator="equal">
      <formula>"?????"</formula>
    </cfRule>
  </conditionalFormatting>
  <conditionalFormatting sqref="R1452:S1452">
    <cfRule type="cellIs" dxfId="1358" priority="316" stopIfTrue="1" operator="equal">
      <formula>"?????"</formula>
    </cfRule>
  </conditionalFormatting>
  <conditionalFormatting sqref="R1453:S1453">
    <cfRule type="cellIs" dxfId="1357" priority="315" stopIfTrue="1" operator="equal">
      <formula>"?????"</formula>
    </cfRule>
  </conditionalFormatting>
  <conditionalFormatting sqref="R1454:S1454">
    <cfRule type="cellIs" dxfId="1356" priority="314" stopIfTrue="1" operator="equal">
      <formula>"?????"</formula>
    </cfRule>
  </conditionalFormatting>
  <conditionalFormatting sqref="F1442">
    <cfRule type="cellIs" dxfId="1355" priority="313" stopIfTrue="1" operator="equal">
      <formula>"?????"</formula>
    </cfRule>
  </conditionalFormatting>
  <conditionalFormatting sqref="F1443">
    <cfRule type="cellIs" dxfId="1354" priority="312" stopIfTrue="1" operator="equal">
      <formula>"?????"</formula>
    </cfRule>
  </conditionalFormatting>
  <conditionalFormatting sqref="F1444">
    <cfRule type="cellIs" dxfId="1353" priority="311" stopIfTrue="1" operator="equal">
      <formula>"?????"</formula>
    </cfRule>
  </conditionalFormatting>
  <conditionalFormatting sqref="F1445">
    <cfRule type="cellIs" dxfId="1352" priority="310" stopIfTrue="1" operator="equal">
      <formula>"?????"</formula>
    </cfRule>
  </conditionalFormatting>
  <conditionalFormatting sqref="F1446">
    <cfRule type="cellIs" dxfId="1351" priority="309" stopIfTrue="1" operator="equal">
      <formula>"?????"</formula>
    </cfRule>
  </conditionalFormatting>
  <conditionalFormatting sqref="F1447">
    <cfRule type="cellIs" dxfId="1350" priority="308" stopIfTrue="1" operator="equal">
      <formula>"?????"</formula>
    </cfRule>
  </conditionalFormatting>
  <conditionalFormatting sqref="R1455:S1455">
    <cfRule type="cellIs" dxfId="1349" priority="307" stopIfTrue="1" operator="equal">
      <formula>"?????"</formula>
    </cfRule>
  </conditionalFormatting>
  <conditionalFormatting sqref="R1456:S1456">
    <cfRule type="cellIs" dxfId="1348" priority="306" stopIfTrue="1" operator="equal">
      <formula>"?????"</formula>
    </cfRule>
  </conditionalFormatting>
  <conditionalFormatting sqref="R736:S736">
    <cfRule type="cellIs" dxfId="1347" priority="305" stopIfTrue="1" operator="equal">
      <formula>"?????"</formula>
    </cfRule>
  </conditionalFormatting>
  <conditionalFormatting sqref="F504">
    <cfRule type="cellIs" dxfId="1346" priority="304" stopIfTrue="1" operator="equal">
      <formula>"?????"</formula>
    </cfRule>
  </conditionalFormatting>
  <conditionalFormatting sqref="R1068:S1068">
    <cfRule type="cellIs" dxfId="1345" priority="301" stopIfTrue="1" operator="equal">
      <formula>"?????"</formula>
    </cfRule>
  </conditionalFormatting>
  <conditionalFormatting sqref="D1068">
    <cfRule type="cellIs" dxfId="1344" priority="300" stopIfTrue="1" operator="equal">
      <formula>"?????"</formula>
    </cfRule>
  </conditionalFormatting>
  <conditionalFormatting sqref="R1084:S1084">
    <cfRule type="cellIs" dxfId="1343" priority="299" stopIfTrue="1" operator="equal">
      <formula>"?????"</formula>
    </cfRule>
  </conditionalFormatting>
  <conditionalFormatting sqref="D1084">
    <cfRule type="cellIs" dxfId="1342" priority="298" stopIfTrue="1" operator="equal">
      <formula>"?????"</formula>
    </cfRule>
  </conditionalFormatting>
  <conditionalFormatting sqref="R1086:S1086">
    <cfRule type="cellIs" dxfId="1341" priority="297" stopIfTrue="1" operator="equal">
      <formula>"?????"</formula>
    </cfRule>
  </conditionalFormatting>
  <conditionalFormatting sqref="R1088:S1088 D1088">
    <cfRule type="cellIs" dxfId="1340" priority="295" stopIfTrue="1" operator="equal">
      <formula>"?????"</formula>
    </cfRule>
  </conditionalFormatting>
  <conditionalFormatting sqref="D1092 R1092:S1092">
    <cfRule type="cellIs" dxfId="1339" priority="294" stopIfTrue="1" operator="equal">
      <formula>"?????"</formula>
    </cfRule>
  </conditionalFormatting>
  <conditionalFormatting sqref="R1094:S1094 D1094">
    <cfRule type="cellIs" dxfId="1338" priority="293" stopIfTrue="1" operator="equal">
      <formula>"?????"</formula>
    </cfRule>
  </conditionalFormatting>
  <conditionalFormatting sqref="R1096:S1096">
    <cfRule type="cellIs" dxfId="1337" priority="292" stopIfTrue="1" operator="equal">
      <formula>"?????"</formula>
    </cfRule>
  </conditionalFormatting>
  <conditionalFormatting sqref="R1098:S1098">
    <cfRule type="cellIs" dxfId="1336" priority="291" stopIfTrue="1" operator="equal">
      <formula>"?????"</formula>
    </cfRule>
  </conditionalFormatting>
  <conditionalFormatting sqref="R1100:S1100">
    <cfRule type="cellIs" dxfId="1335" priority="290" stopIfTrue="1" operator="equal">
      <formula>"?????"</formula>
    </cfRule>
  </conditionalFormatting>
  <conditionalFormatting sqref="R1102:S1102">
    <cfRule type="cellIs" dxfId="1334" priority="289" stopIfTrue="1" operator="equal">
      <formula>"?????"</formula>
    </cfRule>
  </conditionalFormatting>
  <conditionalFormatting sqref="R1106:S1106">
    <cfRule type="cellIs" dxfId="1333" priority="288" stopIfTrue="1" operator="equal">
      <formula>"?????"</formula>
    </cfRule>
  </conditionalFormatting>
  <conditionalFormatting sqref="D1106">
    <cfRule type="cellIs" dxfId="1332" priority="287" stopIfTrue="1" operator="equal">
      <formula>"?????"</formula>
    </cfRule>
  </conditionalFormatting>
  <conditionalFormatting sqref="D1102">
    <cfRule type="cellIs" dxfId="1331" priority="286" stopIfTrue="1" operator="equal">
      <formula>"?????"</formula>
    </cfRule>
  </conditionalFormatting>
  <conditionalFormatting sqref="D1100">
    <cfRule type="cellIs" dxfId="1330" priority="285" stopIfTrue="1" operator="equal">
      <formula>"?????"</formula>
    </cfRule>
  </conditionalFormatting>
  <conditionalFormatting sqref="D1098">
    <cfRule type="cellIs" dxfId="1329" priority="284" stopIfTrue="1" operator="equal">
      <formula>"?????"</formula>
    </cfRule>
  </conditionalFormatting>
  <conditionalFormatting sqref="D1096">
    <cfRule type="cellIs" dxfId="1328" priority="283" stopIfTrue="1" operator="equal">
      <formula>"?????"</formula>
    </cfRule>
  </conditionalFormatting>
  <conditionalFormatting sqref="D1086">
    <cfRule type="cellIs" dxfId="1327" priority="281" stopIfTrue="1" operator="equal">
      <formula>"?????"</formula>
    </cfRule>
  </conditionalFormatting>
  <conditionalFormatting sqref="F1069:F1077 F1079 F1081:F1106">
    <cfRule type="cellIs" dxfId="1326" priority="280" stopIfTrue="1" operator="equal">
      <formula>"?????"</formula>
    </cfRule>
  </conditionalFormatting>
  <conditionalFormatting sqref="F1068">
    <cfRule type="cellIs" dxfId="1325" priority="279" stopIfTrue="1" operator="equal">
      <formula>"?????"</formula>
    </cfRule>
  </conditionalFormatting>
  <conditionalFormatting sqref="R1078:S1078 D1078">
    <cfRule type="cellIs" dxfId="1324" priority="278" stopIfTrue="1" operator="equal">
      <formula>"?????"</formula>
    </cfRule>
  </conditionalFormatting>
  <conditionalFormatting sqref="F1078">
    <cfRule type="cellIs" dxfId="1323" priority="276" stopIfTrue="1" operator="equal">
      <formula>"?????"</formula>
    </cfRule>
  </conditionalFormatting>
  <conditionalFormatting sqref="F1080">
    <cfRule type="cellIs" dxfId="1322" priority="274" stopIfTrue="1" operator="equal">
      <formula>"?????"</formula>
    </cfRule>
  </conditionalFormatting>
  <conditionalFormatting sqref="R1080:S1080 D1080">
    <cfRule type="cellIs" dxfId="1321" priority="275" stopIfTrue="1" operator="equal">
      <formula>"?????"</formula>
    </cfRule>
  </conditionalFormatting>
  <conditionalFormatting sqref="F774 D774 R774:S774">
    <cfRule type="cellIs" dxfId="1320" priority="272" stopIfTrue="1" operator="equal">
      <formula>"?????"</formula>
    </cfRule>
  </conditionalFormatting>
  <conditionalFormatting sqref="F195 R195:S195">
    <cfRule type="cellIs" dxfId="1319" priority="270" stopIfTrue="1" operator="equal">
      <formula>"?????"</formula>
    </cfRule>
  </conditionalFormatting>
  <conditionalFormatting sqref="F731 D731 D735 F735 D632 F632:F652">
    <cfRule type="cellIs" dxfId="1318" priority="267" stopIfTrue="1" operator="equal">
      <formula>"?????"</formula>
    </cfRule>
  </conditionalFormatting>
  <conditionalFormatting sqref="D730 F730">
    <cfRule type="cellIs" dxfId="1317" priority="266" stopIfTrue="1" operator="equal">
      <formula>"?????"</formula>
    </cfRule>
  </conditionalFormatting>
  <conditionalFormatting sqref="F732 D732">
    <cfRule type="cellIs" dxfId="1316" priority="265" stopIfTrue="1" operator="equal">
      <formula>"?????"</formula>
    </cfRule>
  </conditionalFormatting>
  <conditionalFormatting sqref="F733 D733">
    <cfRule type="cellIs" dxfId="1315" priority="264" stopIfTrue="1" operator="equal">
      <formula>"?????"</formula>
    </cfRule>
  </conditionalFormatting>
  <conditionalFormatting sqref="F734 D734">
    <cfRule type="cellIs" dxfId="1314" priority="263" stopIfTrue="1" operator="equal">
      <formula>"?????"</formula>
    </cfRule>
  </conditionalFormatting>
  <conditionalFormatting sqref="D631 F631">
    <cfRule type="cellIs" dxfId="1313" priority="198" stopIfTrue="1" operator="equal">
      <formula>"?????"</formula>
    </cfRule>
  </conditionalFormatting>
  <conditionalFormatting sqref="D630 F630">
    <cfRule type="cellIs" dxfId="1312" priority="197" stopIfTrue="1" operator="equal">
      <formula>"?????"</formula>
    </cfRule>
  </conditionalFormatting>
  <conditionalFormatting sqref="F657:F665">
    <cfRule type="cellIs" dxfId="1311" priority="196" stopIfTrue="1" operator="equal">
      <formula>"?????"</formula>
    </cfRule>
  </conditionalFormatting>
  <conditionalFormatting sqref="F653:F656">
    <cfRule type="cellIs" dxfId="1310" priority="192" stopIfTrue="1" operator="equal">
      <formula>"?????"</formula>
    </cfRule>
  </conditionalFormatting>
  <conditionalFormatting sqref="F692:F706">
    <cfRule type="cellIs" dxfId="1309" priority="181" stopIfTrue="1" operator="equal">
      <formula>"?????"</formula>
    </cfRule>
  </conditionalFormatting>
  <conditionalFormatting sqref="F680:F691">
    <cfRule type="cellIs" dxfId="1308" priority="182" stopIfTrue="1" operator="equal">
      <formula>"?????"</formula>
    </cfRule>
  </conditionalFormatting>
  <conditionalFormatting sqref="F1848:F1858 D1848:D1858 R1848:S1858">
    <cfRule type="cellIs" dxfId="1307" priority="180" stopIfTrue="1" operator="equal">
      <formula>"?????"</formula>
    </cfRule>
  </conditionalFormatting>
  <conditionalFormatting sqref="F1845 D1845 R1845:S1845">
    <cfRule type="cellIs" dxfId="1306" priority="179" stopIfTrue="1" operator="equal">
      <formula>"?????"</formula>
    </cfRule>
  </conditionalFormatting>
  <conditionalFormatting sqref="F1844:F1845 D1844:D1845 R1844:S1845">
    <cfRule type="cellIs" dxfId="1305" priority="178" stopIfTrue="1" operator="equal">
      <formula>"?????"</formula>
    </cfRule>
  </conditionalFormatting>
  <conditionalFormatting sqref="F1846 D1846 R1846:S1846">
    <cfRule type="cellIs" dxfId="1304" priority="177" stopIfTrue="1" operator="equal">
      <formula>"?????"</formula>
    </cfRule>
  </conditionalFormatting>
  <conditionalFormatting sqref="F1846 D1846 R1846:S1846">
    <cfRule type="cellIs" dxfId="1303" priority="176" stopIfTrue="1" operator="equal">
      <formula>"?????"</formula>
    </cfRule>
  </conditionalFormatting>
  <conditionalFormatting sqref="F1859:F1860 D1859:D1860 R1859:S1860 R1862:S1865 D1862:D1865 F1862:F1865 F1867 D1867 R1867:S1867">
    <cfRule type="cellIs" dxfId="1302" priority="175" stopIfTrue="1" operator="equal">
      <formula>"?????"</formula>
    </cfRule>
  </conditionalFormatting>
  <conditionalFormatting sqref="F1861 D1861 R1861:S1861">
    <cfRule type="cellIs" dxfId="1301" priority="174" stopIfTrue="1" operator="equal">
      <formula>"?????"</formula>
    </cfRule>
  </conditionalFormatting>
  <conditionalFormatting sqref="F1866 D1866 R1866:S1866">
    <cfRule type="cellIs" dxfId="1300" priority="173" stopIfTrue="1" operator="equal">
      <formula>"?????"</formula>
    </cfRule>
  </conditionalFormatting>
  <conditionalFormatting sqref="F1868:F1869 D1868:D1869 R1868:S1869 R1871:S1873 D1871:D1873 F1871:F1873 F1875:F1876 D1875:D1876 R1875:S1876">
    <cfRule type="cellIs" dxfId="1299" priority="172" stopIfTrue="1" operator="equal">
      <formula>"?????"</formula>
    </cfRule>
  </conditionalFormatting>
  <conditionalFormatting sqref="F1870 D1870 R1870:S1870">
    <cfRule type="cellIs" dxfId="1298" priority="171" stopIfTrue="1" operator="equal">
      <formula>"?????"</formula>
    </cfRule>
  </conditionalFormatting>
  <conditionalFormatting sqref="F1874 D1874 R1874:S1874">
    <cfRule type="cellIs" dxfId="1297" priority="170" stopIfTrue="1" operator="equal">
      <formula>"?????"</formula>
    </cfRule>
  </conditionalFormatting>
  <conditionalFormatting sqref="F1877:F1878 D1877:D1878 R1877:S1878">
    <cfRule type="cellIs" dxfId="1296" priority="169" stopIfTrue="1" operator="equal">
      <formula>"?????"</formula>
    </cfRule>
  </conditionalFormatting>
  <conditionalFormatting sqref="F5:F20 F22:F33 F47:F56 F35:F41 F43:F45 F60:F66">
    <cfRule type="cellIs" dxfId="1295" priority="165" stopIfTrue="1" operator="equal">
      <formula>"?????"</formula>
    </cfRule>
  </conditionalFormatting>
  <conditionalFormatting sqref="F21">
    <cfRule type="cellIs" dxfId="1294" priority="163" stopIfTrue="1" operator="equal">
      <formula>"?????"</formula>
    </cfRule>
  </conditionalFormatting>
  <conditionalFormatting sqref="F34">
    <cfRule type="cellIs" dxfId="1293" priority="162" stopIfTrue="1" operator="equal">
      <formula>"?????"</formula>
    </cfRule>
  </conditionalFormatting>
  <conditionalFormatting sqref="F46">
    <cfRule type="cellIs" dxfId="1292" priority="161" stopIfTrue="1" operator="equal">
      <formula>"?????"</formula>
    </cfRule>
  </conditionalFormatting>
  <conditionalFormatting sqref="F42">
    <cfRule type="cellIs" dxfId="1291" priority="160" stopIfTrue="1" operator="equal">
      <formula>"?????"</formula>
    </cfRule>
  </conditionalFormatting>
  <conditionalFormatting sqref="F57">
    <cfRule type="cellIs" dxfId="1290" priority="159" stopIfTrue="1" operator="equal">
      <formula>"?????"</formula>
    </cfRule>
  </conditionalFormatting>
  <conditionalFormatting sqref="F58">
    <cfRule type="cellIs" dxfId="1289" priority="158" stopIfTrue="1" operator="equal">
      <formula>"?????"</formula>
    </cfRule>
  </conditionalFormatting>
  <conditionalFormatting sqref="F59">
    <cfRule type="cellIs" dxfId="1288" priority="157" stopIfTrue="1" operator="equal">
      <formula>"?????"</formula>
    </cfRule>
  </conditionalFormatting>
  <conditionalFormatting sqref="S70 F68 F70 F72 S72 S74 F74 F76:F78 S76:S78 S80 F80 F93:F94 S93:S94 S96 F96 F98 S98 S100:S102 F100:F102 F104 S104 F82 S82 S84 F84 F86 S86 S88 F88 F91 S91 S106:S108 F106:F108 F110:F111 S110:S111 S113 F113 F115:F117 S115:S117">
    <cfRule type="cellIs" dxfId="1287" priority="156" stopIfTrue="1" operator="equal">
      <formula>"?????"</formula>
    </cfRule>
  </conditionalFormatting>
  <conditionalFormatting sqref="F69">
    <cfRule type="cellIs" dxfId="1286" priority="155" stopIfTrue="1" operator="equal">
      <formula>"?????"</formula>
    </cfRule>
  </conditionalFormatting>
  <conditionalFormatting sqref="S71 F71">
    <cfRule type="cellIs" dxfId="1285" priority="154" stopIfTrue="1" operator="equal">
      <formula>"?????"</formula>
    </cfRule>
  </conditionalFormatting>
  <conditionalFormatting sqref="F73 S73">
    <cfRule type="cellIs" dxfId="1284" priority="153" stopIfTrue="1" operator="equal">
      <formula>"?????"</formula>
    </cfRule>
  </conditionalFormatting>
  <conditionalFormatting sqref="S92 F92">
    <cfRule type="cellIs" dxfId="1283" priority="150" stopIfTrue="1" operator="equal">
      <formula>"?????"</formula>
    </cfRule>
  </conditionalFormatting>
  <conditionalFormatting sqref="S75 F75">
    <cfRule type="cellIs" dxfId="1282" priority="152" stopIfTrue="1" operator="equal">
      <formula>"?????"</formula>
    </cfRule>
  </conditionalFormatting>
  <conditionalFormatting sqref="F79 S79">
    <cfRule type="cellIs" dxfId="1281" priority="151" stopIfTrue="1" operator="equal">
      <formula>"?????"</formula>
    </cfRule>
  </conditionalFormatting>
  <conditionalFormatting sqref="S97 F97">
    <cfRule type="cellIs" dxfId="1280" priority="148" stopIfTrue="1" operator="equal">
      <formula>"?????"</formula>
    </cfRule>
  </conditionalFormatting>
  <conditionalFormatting sqref="F95 S95">
    <cfRule type="cellIs" dxfId="1279" priority="149" stopIfTrue="1" operator="equal">
      <formula>"?????"</formula>
    </cfRule>
  </conditionalFormatting>
  <conditionalFormatting sqref="F99 S99">
    <cfRule type="cellIs" dxfId="1278" priority="147" stopIfTrue="1" operator="equal">
      <formula>"?????"</formula>
    </cfRule>
  </conditionalFormatting>
  <conditionalFormatting sqref="S103 F103">
    <cfRule type="cellIs" dxfId="1277" priority="146" stopIfTrue="1" operator="equal">
      <formula>"?????"</formula>
    </cfRule>
  </conditionalFormatting>
  <conditionalFormatting sqref="F119 S119">
    <cfRule type="cellIs" dxfId="1276" priority="145" stopIfTrue="1" operator="equal">
      <formula>"?????"</formula>
    </cfRule>
  </conditionalFormatting>
  <conditionalFormatting sqref="F120 S120">
    <cfRule type="cellIs" dxfId="1275" priority="144" stopIfTrue="1" operator="equal">
      <formula>"?????"</formula>
    </cfRule>
  </conditionalFormatting>
  <conditionalFormatting sqref="F121 S121">
    <cfRule type="cellIs" dxfId="1274" priority="143" stopIfTrue="1" operator="equal">
      <formula>"?????"</formula>
    </cfRule>
  </conditionalFormatting>
  <conditionalFormatting sqref="F122 S122">
    <cfRule type="cellIs" dxfId="1273" priority="142" stopIfTrue="1" operator="equal">
      <formula>"?????"</formula>
    </cfRule>
  </conditionalFormatting>
  <conditionalFormatting sqref="F123 S123">
    <cfRule type="cellIs" dxfId="1272" priority="141" stopIfTrue="1" operator="equal">
      <formula>"?????"</formula>
    </cfRule>
  </conditionalFormatting>
  <conditionalFormatting sqref="F124 S124">
    <cfRule type="cellIs" dxfId="1271" priority="140" stopIfTrue="1" operator="equal">
      <formula>"?????"</formula>
    </cfRule>
  </conditionalFormatting>
  <conditionalFormatting sqref="S81 F81">
    <cfRule type="cellIs" dxfId="1270" priority="139" stopIfTrue="1" operator="equal">
      <formula>"?????"</formula>
    </cfRule>
  </conditionalFormatting>
  <conditionalFormatting sqref="F83 S83">
    <cfRule type="cellIs" dxfId="1269" priority="138" stopIfTrue="1" operator="equal">
      <formula>"?????"</formula>
    </cfRule>
  </conditionalFormatting>
  <conditionalFormatting sqref="S85 F85">
    <cfRule type="cellIs" dxfId="1268" priority="137" stopIfTrue="1" operator="equal">
      <formula>"?????"</formula>
    </cfRule>
  </conditionalFormatting>
  <conditionalFormatting sqref="F87 S87">
    <cfRule type="cellIs" dxfId="1267" priority="136" stopIfTrue="1" operator="equal">
      <formula>"?????"</formula>
    </cfRule>
  </conditionalFormatting>
  <conditionalFormatting sqref="S89 F89">
    <cfRule type="cellIs" dxfId="1266" priority="135" stopIfTrue="1" operator="equal">
      <formula>"?????"</formula>
    </cfRule>
  </conditionalFormatting>
  <conditionalFormatting sqref="S90 F90">
    <cfRule type="cellIs" dxfId="1265" priority="134" stopIfTrue="1" operator="equal">
      <formula>"?????"</formula>
    </cfRule>
  </conditionalFormatting>
  <conditionalFormatting sqref="F105 S105">
    <cfRule type="cellIs" dxfId="1264" priority="133" stopIfTrue="1" operator="equal">
      <formula>"?????"</formula>
    </cfRule>
  </conditionalFormatting>
  <conditionalFormatting sqref="S109 F109">
    <cfRule type="cellIs" dxfId="1263" priority="132" stopIfTrue="1" operator="equal">
      <formula>"?????"</formula>
    </cfRule>
  </conditionalFormatting>
  <conditionalFormatting sqref="F112 S112">
    <cfRule type="cellIs" dxfId="1262" priority="131" stopIfTrue="1" operator="equal">
      <formula>"?????"</formula>
    </cfRule>
  </conditionalFormatting>
  <conditionalFormatting sqref="S114 F114">
    <cfRule type="cellIs" dxfId="1261" priority="130" stopIfTrue="1" operator="equal">
      <formula>"?????"</formula>
    </cfRule>
  </conditionalFormatting>
  <conditionalFormatting sqref="F118 S118">
    <cfRule type="cellIs" dxfId="1260" priority="129" stopIfTrue="1" operator="equal">
      <formula>"?????"</formula>
    </cfRule>
  </conditionalFormatting>
  <conditionalFormatting sqref="R130:S130 F130 F132 R132:S132 R134:S134 F134 F136:F137 R136:S137 R139 F139 F152 R152:S152 R154:S154 F154 F156 R156:S156 R158:S160 F158:F160 F162 R162:S162 R184:S184 F184 F186 R186:S186 R188:S188 F188 F190 R190:S190 R192:S192 F192 F149:F150 R149:S150 R164:S164 F164 F166 R166:S166 R168:S168 F168 F182 R182:S182 R126:S127 F126:F127 S139:S148">
    <cfRule type="cellIs" dxfId="1259" priority="128" stopIfTrue="1" operator="equal">
      <formula>"?????"</formula>
    </cfRule>
  </conditionalFormatting>
  <conditionalFormatting sqref="F128 R128:S128">
    <cfRule type="cellIs" dxfId="1258" priority="127" stopIfTrue="1" operator="equal">
      <formula>"?????"</formula>
    </cfRule>
  </conditionalFormatting>
  <conditionalFormatting sqref="F129 R129:S129">
    <cfRule type="cellIs" dxfId="1257" priority="126" stopIfTrue="1" operator="equal">
      <formula>"?????"</formula>
    </cfRule>
  </conditionalFormatting>
  <conditionalFormatting sqref="R131:S131 F131">
    <cfRule type="cellIs" dxfId="1256" priority="125" stopIfTrue="1" operator="equal">
      <formula>"?????"</formula>
    </cfRule>
  </conditionalFormatting>
  <conditionalFormatting sqref="F133 R133:S133">
    <cfRule type="cellIs" dxfId="1255" priority="124" stopIfTrue="1" operator="equal">
      <formula>"?????"</formula>
    </cfRule>
  </conditionalFormatting>
  <conditionalFormatting sqref="R135:S135 F135">
    <cfRule type="cellIs" dxfId="1254" priority="123" stopIfTrue="1" operator="equal">
      <formula>"?????"</formula>
    </cfRule>
  </conditionalFormatting>
  <conditionalFormatting sqref="F138 R138:S138">
    <cfRule type="cellIs" dxfId="1253" priority="122" stopIfTrue="1" operator="equal">
      <formula>"?????"</formula>
    </cfRule>
  </conditionalFormatting>
  <conditionalFormatting sqref="R151:S151 F151">
    <cfRule type="cellIs" dxfId="1252" priority="121" stopIfTrue="1" operator="equal">
      <formula>"?????"</formula>
    </cfRule>
  </conditionalFormatting>
  <conditionalFormatting sqref="R155:S155 F155">
    <cfRule type="cellIs" dxfId="1251" priority="119" stopIfTrue="1" operator="equal">
      <formula>"?????"</formula>
    </cfRule>
  </conditionalFormatting>
  <conditionalFormatting sqref="F153 R153:S153">
    <cfRule type="cellIs" dxfId="1250" priority="120" stopIfTrue="1" operator="equal">
      <formula>"?????"</formula>
    </cfRule>
  </conditionalFormatting>
  <conditionalFormatting sqref="R161:S161 F161">
    <cfRule type="cellIs" dxfId="1249" priority="117" stopIfTrue="1" operator="equal">
      <formula>"?????"</formula>
    </cfRule>
  </conditionalFormatting>
  <conditionalFormatting sqref="R185:S185 F185">
    <cfRule type="cellIs" dxfId="1248" priority="115" stopIfTrue="1" operator="equal">
      <formula>"?????"</formula>
    </cfRule>
  </conditionalFormatting>
  <conditionalFormatting sqref="F157 R157:S157">
    <cfRule type="cellIs" dxfId="1247" priority="118" stopIfTrue="1" operator="equal">
      <formula>"?????"</formula>
    </cfRule>
  </conditionalFormatting>
  <conditionalFormatting sqref="F183 R183:S183">
    <cfRule type="cellIs" dxfId="1246" priority="116" stopIfTrue="1" operator="equal">
      <formula>"?????"</formula>
    </cfRule>
  </conditionalFormatting>
  <conditionalFormatting sqref="R189:S189 F189">
    <cfRule type="cellIs" dxfId="1245" priority="113" stopIfTrue="1" operator="equal">
      <formula>"?????"</formula>
    </cfRule>
  </conditionalFormatting>
  <conditionalFormatting sqref="F191 R191:S191">
    <cfRule type="cellIs" dxfId="1244" priority="112" stopIfTrue="1" operator="equal">
      <formula>"?????"</formula>
    </cfRule>
  </conditionalFormatting>
  <conditionalFormatting sqref="F187 R187:S187">
    <cfRule type="cellIs" dxfId="1243" priority="114" stopIfTrue="1" operator="equal">
      <formula>"?????"</formula>
    </cfRule>
  </conditionalFormatting>
  <conditionalFormatting sqref="R140 F140">
    <cfRule type="cellIs" dxfId="1242" priority="111" stopIfTrue="1" operator="equal">
      <formula>"?????"</formula>
    </cfRule>
  </conditionalFormatting>
  <conditionalFormatting sqref="R141 F141">
    <cfRule type="cellIs" dxfId="1241" priority="110" stopIfTrue="1" operator="equal">
      <formula>"?????"</formula>
    </cfRule>
  </conditionalFormatting>
  <conditionalFormatting sqref="R142 F142">
    <cfRule type="cellIs" dxfId="1240" priority="109" stopIfTrue="1" operator="equal">
      <formula>"?????"</formula>
    </cfRule>
  </conditionalFormatting>
  <conditionalFormatting sqref="R144 F144">
    <cfRule type="cellIs" dxfId="1239" priority="107" stopIfTrue="1" operator="equal">
      <formula>"?????"</formula>
    </cfRule>
  </conditionalFormatting>
  <conditionalFormatting sqref="R143 F143">
    <cfRule type="cellIs" dxfId="1238" priority="108" stopIfTrue="1" operator="equal">
      <formula>"?????"</formula>
    </cfRule>
  </conditionalFormatting>
  <conditionalFormatting sqref="R146 F146">
    <cfRule type="cellIs" dxfId="1237" priority="105" stopIfTrue="1" operator="equal">
      <formula>"?????"</formula>
    </cfRule>
  </conditionalFormatting>
  <conditionalFormatting sqref="R148 F148">
    <cfRule type="cellIs" dxfId="1236" priority="103" stopIfTrue="1" operator="equal">
      <formula>"?????"</formula>
    </cfRule>
  </conditionalFormatting>
  <conditionalFormatting sqref="R145 F145">
    <cfRule type="cellIs" dxfId="1235" priority="106" stopIfTrue="1" operator="equal">
      <formula>"?????"</formula>
    </cfRule>
  </conditionalFormatting>
  <conditionalFormatting sqref="R147 F147">
    <cfRule type="cellIs" dxfId="1234" priority="104" stopIfTrue="1" operator="equal">
      <formula>"?????"</formula>
    </cfRule>
  </conditionalFormatting>
  <conditionalFormatting sqref="R169:S169 F169">
    <cfRule type="cellIs" dxfId="1233" priority="99" stopIfTrue="1" operator="equal">
      <formula>"?????"</formula>
    </cfRule>
  </conditionalFormatting>
  <conditionalFormatting sqref="R165:S165 F165">
    <cfRule type="cellIs" dxfId="1232" priority="101" stopIfTrue="1" operator="equal">
      <formula>"?????"</formula>
    </cfRule>
  </conditionalFormatting>
  <conditionalFormatting sqref="F163 R163:S163">
    <cfRule type="cellIs" dxfId="1231" priority="102" stopIfTrue="1" operator="equal">
      <formula>"?????"</formula>
    </cfRule>
  </conditionalFormatting>
  <conditionalFormatting sqref="F167 R167:S167">
    <cfRule type="cellIs" dxfId="1230" priority="100" stopIfTrue="1" operator="equal">
      <formula>"?????"</formula>
    </cfRule>
  </conditionalFormatting>
  <conditionalFormatting sqref="R171:S171 F171">
    <cfRule type="cellIs" dxfId="1229" priority="97" stopIfTrue="1" operator="equal">
      <formula>"?????"</formula>
    </cfRule>
  </conditionalFormatting>
  <conditionalFormatting sqref="R170:S170 F170">
    <cfRule type="cellIs" dxfId="1228" priority="98" stopIfTrue="1" operator="equal">
      <formula>"?????"</formula>
    </cfRule>
  </conditionalFormatting>
  <conditionalFormatting sqref="F172 R172:S172">
    <cfRule type="cellIs" dxfId="1227" priority="96" stopIfTrue="1" operator="equal">
      <formula>"?????"</formula>
    </cfRule>
  </conditionalFormatting>
  <conditionalFormatting sqref="F173 R173:S173">
    <cfRule type="cellIs" dxfId="1226" priority="95" stopIfTrue="1" operator="equal">
      <formula>"?????"</formula>
    </cfRule>
  </conditionalFormatting>
  <conditionalFormatting sqref="R174:S174 F174">
    <cfRule type="cellIs" dxfId="1225" priority="94" stopIfTrue="1" operator="equal">
      <formula>"?????"</formula>
    </cfRule>
  </conditionalFormatting>
  <conditionalFormatting sqref="R175:S175 F175">
    <cfRule type="cellIs" dxfId="1224" priority="93" stopIfTrue="1" operator="equal">
      <formula>"?????"</formula>
    </cfRule>
  </conditionalFormatting>
  <conditionalFormatting sqref="F176 R176:S176 R178:S178 F178 F180 R180:S180">
    <cfRule type="cellIs" dxfId="1223" priority="92" stopIfTrue="1" operator="equal">
      <formula>"?????"</formula>
    </cfRule>
  </conditionalFormatting>
  <conditionalFormatting sqref="F177 R177:S177">
    <cfRule type="cellIs" dxfId="1222" priority="91" stopIfTrue="1" operator="equal">
      <formula>"?????"</formula>
    </cfRule>
  </conditionalFormatting>
  <conditionalFormatting sqref="R179:S179 F179">
    <cfRule type="cellIs" dxfId="1221" priority="90" stopIfTrue="1" operator="equal">
      <formula>"?????"</formula>
    </cfRule>
  </conditionalFormatting>
  <conditionalFormatting sqref="F181 R181:S181">
    <cfRule type="cellIs" dxfId="1220" priority="89" stopIfTrue="1" operator="equal">
      <formula>"?????"</formula>
    </cfRule>
  </conditionalFormatting>
  <conditionalFormatting sqref="F737:F738 D737:D738 R737:S738 R740:S740 D740 F740 F742 D742 R742:S742 R744:S744 D744 F744 F750:F751 D750:D751 R750:S751 R760:S765 D760:D765 F760:F765 R754:S754 D754 F754 F756:F758 D756:D758 R756:S758 F769 D769 R769:S769">
    <cfRule type="cellIs" dxfId="1219" priority="88" stopIfTrue="1" operator="equal">
      <formula>"?????"</formula>
    </cfRule>
  </conditionalFormatting>
  <conditionalFormatting sqref="R739:S739 D739 F739">
    <cfRule type="cellIs" dxfId="1218" priority="87" stopIfTrue="1" operator="equal">
      <formula>"?????"</formula>
    </cfRule>
  </conditionalFormatting>
  <conditionalFormatting sqref="F741 D741 R741:S741">
    <cfRule type="cellIs" dxfId="1217" priority="86" stopIfTrue="1" operator="equal">
      <formula>"?????"</formula>
    </cfRule>
  </conditionalFormatting>
  <conditionalFormatting sqref="R743:S743 D743 F743">
    <cfRule type="cellIs" dxfId="1216" priority="85" stopIfTrue="1" operator="equal">
      <formula>"?????"</formula>
    </cfRule>
  </conditionalFormatting>
  <conditionalFormatting sqref="R745:S745 D745 F745">
    <cfRule type="cellIs" dxfId="1215" priority="84" stopIfTrue="1" operator="equal">
      <formula>"?????"</formula>
    </cfRule>
  </conditionalFormatting>
  <conditionalFormatting sqref="R747:S747 D747 F747">
    <cfRule type="cellIs" dxfId="1214" priority="83" stopIfTrue="1" operator="equal">
      <formula>"?????"</formula>
    </cfRule>
  </conditionalFormatting>
  <conditionalFormatting sqref="F749 D749 R749:S749">
    <cfRule type="cellIs" dxfId="1213" priority="82" stopIfTrue="1" operator="equal">
      <formula>"?????"</formula>
    </cfRule>
  </conditionalFormatting>
  <conditionalFormatting sqref="R759:S759 D759 F759">
    <cfRule type="cellIs" dxfId="1212" priority="81" stopIfTrue="1" operator="equal">
      <formula>"?????"</formula>
    </cfRule>
  </conditionalFormatting>
  <conditionalFormatting sqref="R746:S746 D746 F746">
    <cfRule type="cellIs" dxfId="1211" priority="80" stopIfTrue="1" operator="equal">
      <formula>"?????"</formula>
    </cfRule>
  </conditionalFormatting>
  <conditionalFormatting sqref="R748:S748 D748 F748">
    <cfRule type="cellIs" dxfId="1210" priority="79" stopIfTrue="1" operator="equal">
      <formula>"?????"</formula>
    </cfRule>
  </conditionalFormatting>
  <conditionalFormatting sqref="R752:S752 D752 F752">
    <cfRule type="cellIs" dxfId="1209" priority="78" stopIfTrue="1" operator="equal">
      <formula>"?????"</formula>
    </cfRule>
  </conditionalFormatting>
  <conditionalFormatting sqref="R753:S753 D753 F753">
    <cfRule type="cellIs" dxfId="1208" priority="77" stopIfTrue="1" operator="equal">
      <formula>"?????"</formula>
    </cfRule>
  </conditionalFormatting>
  <conditionalFormatting sqref="F755 D755 R755:S755">
    <cfRule type="cellIs" dxfId="1207" priority="76" stopIfTrue="1" operator="equal">
      <formula>"?????"</formula>
    </cfRule>
  </conditionalFormatting>
  <conditionalFormatting sqref="R766:S766 D766 F766">
    <cfRule type="cellIs" dxfId="1206" priority="75" stopIfTrue="1" operator="equal">
      <formula>"?????"</formula>
    </cfRule>
  </conditionalFormatting>
  <conditionalFormatting sqref="R767:S767 D767 F767">
    <cfRule type="cellIs" dxfId="1205" priority="74" stopIfTrue="1" operator="equal">
      <formula>"?????"</formula>
    </cfRule>
  </conditionalFormatting>
  <conditionalFormatting sqref="R768:S768 D768 F768">
    <cfRule type="cellIs" dxfId="1204" priority="73" stopIfTrue="1" operator="equal">
      <formula>"?????"</formula>
    </cfRule>
  </conditionalFormatting>
  <conditionalFormatting sqref="F1229:F1234 D1229:D1234 D1241:D1248 F1241:F1248">
    <cfRule type="cellIs" dxfId="1203" priority="72" stopIfTrue="1" operator="equal">
      <formula>"?????"</formula>
    </cfRule>
  </conditionalFormatting>
  <conditionalFormatting sqref="F1223 D1223">
    <cfRule type="cellIs" dxfId="1202" priority="70" stopIfTrue="1" operator="equal">
      <formula>"?????"</formula>
    </cfRule>
  </conditionalFormatting>
  <conditionalFormatting sqref="F1222 D1222">
    <cfRule type="cellIs" dxfId="1201" priority="68" stopIfTrue="1" operator="equal">
      <formula>"?????"</formula>
    </cfRule>
  </conditionalFormatting>
  <conditionalFormatting sqref="F1224 D1224">
    <cfRule type="cellIs" dxfId="1200" priority="66" stopIfTrue="1" operator="equal">
      <formula>"?????"</formula>
    </cfRule>
  </conditionalFormatting>
  <conditionalFormatting sqref="F1225 D1225">
    <cfRule type="cellIs" dxfId="1199" priority="64" stopIfTrue="1" operator="equal">
      <formula>"?????"</formula>
    </cfRule>
  </conditionalFormatting>
  <conditionalFormatting sqref="F1226 D1226">
    <cfRule type="cellIs" dxfId="1198" priority="62" stopIfTrue="1" operator="equal">
      <formula>"?????"</formula>
    </cfRule>
  </conditionalFormatting>
  <conditionalFormatting sqref="F1227 D1227">
    <cfRule type="cellIs" dxfId="1197" priority="61" stopIfTrue="1" operator="equal">
      <formula>"?????"</formula>
    </cfRule>
  </conditionalFormatting>
  <conditionalFormatting sqref="F1228 D1228">
    <cfRule type="cellIs" dxfId="1196" priority="60" stopIfTrue="1" operator="equal">
      <formula>"?????"</formula>
    </cfRule>
  </conditionalFormatting>
  <conditionalFormatting sqref="F1235 D1235">
    <cfRule type="cellIs" dxfId="1195" priority="58" stopIfTrue="1" operator="equal">
      <formula>"?????"</formula>
    </cfRule>
  </conditionalFormatting>
  <conditionalFormatting sqref="F1238:F1239 D1238:D1239">
    <cfRule type="cellIs" dxfId="1194" priority="55" stopIfTrue="1" operator="equal">
      <formula>"?????"</formula>
    </cfRule>
  </conditionalFormatting>
  <conditionalFormatting sqref="F1236:F1237 D1236:D1237">
    <cfRule type="cellIs" dxfId="1193" priority="59" stopIfTrue="1" operator="equal">
      <formula>"?????"</formula>
    </cfRule>
  </conditionalFormatting>
  <conditionalFormatting sqref="D1240 F1240">
    <cfRule type="cellIs" dxfId="1192" priority="54" stopIfTrue="1" operator="equal">
      <formula>"?????"</formula>
    </cfRule>
  </conditionalFormatting>
  <conditionalFormatting sqref="D1249 F1249">
    <cfRule type="cellIs" dxfId="1191" priority="51" stopIfTrue="1" operator="equal">
      <formula>"?????"</formula>
    </cfRule>
  </conditionalFormatting>
  <conditionalFormatting sqref="D1250 F1250">
    <cfRule type="cellIs" dxfId="1190" priority="50" stopIfTrue="1" operator="equal">
      <formula>"?????"</formula>
    </cfRule>
  </conditionalFormatting>
  <conditionalFormatting sqref="F1252:F1258 D1252:D1258 D1262:D1268 F1262:F1268">
    <cfRule type="cellIs" dxfId="1189" priority="48" stopIfTrue="1" operator="equal">
      <formula>"?????"</formula>
    </cfRule>
  </conditionalFormatting>
  <conditionalFormatting sqref="F1251 D1251">
    <cfRule type="cellIs" dxfId="1188" priority="47" stopIfTrue="1" operator="equal">
      <formula>"?????"</formula>
    </cfRule>
  </conditionalFormatting>
  <conditionalFormatting sqref="F1259:F1260 D1259:D1260">
    <cfRule type="cellIs" dxfId="1187" priority="44" stopIfTrue="1" operator="equal">
      <formula>"?????"</formula>
    </cfRule>
  </conditionalFormatting>
  <conditionalFormatting sqref="D1261 F1261">
    <cfRule type="cellIs" dxfId="1186" priority="43" stopIfTrue="1" operator="equal">
      <formula>"?????"</formula>
    </cfRule>
  </conditionalFormatting>
  <conditionalFormatting sqref="D1269:D1270 F1269:F1270">
    <cfRule type="cellIs" dxfId="1185" priority="40" stopIfTrue="1" operator="equal">
      <formula>"?????"</formula>
    </cfRule>
  </conditionalFormatting>
  <conditionalFormatting sqref="F1272:F1278 D1272:D1278 D1290:D1296 F1290:F1296">
    <cfRule type="cellIs" dxfId="1184" priority="39" stopIfTrue="1" operator="equal">
      <formula>"?????"</formula>
    </cfRule>
  </conditionalFormatting>
  <conditionalFormatting sqref="F1271 D1271">
    <cfRule type="cellIs" dxfId="1183" priority="38" stopIfTrue="1" operator="equal">
      <formula>"?????"</formula>
    </cfRule>
  </conditionalFormatting>
  <conditionalFormatting sqref="F1279:F1280 D1279:D1280">
    <cfRule type="cellIs" dxfId="1182" priority="35" stopIfTrue="1" operator="equal">
      <formula>"?????"</formula>
    </cfRule>
  </conditionalFormatting>
  <conditionalFormatting sqref="D1289 F1289">
    <cfRule type="cellIs" dxfId="1181" priority="34" stopIfTrue="1" operator="equal">
      <formula>"?????"</formula>
    </cfRule>
  </conditionalFormatting>
  <conditionalFormatting sqref="D1297:D1298 F1297:F1298">
    <cfRule type="cellIs" dxfId="1180" priority="31" stopIfTrue="1" operator="equal">
      <formula>"?????"</formula>
    </cfRule>
  </conditionalFormatting>
  <conditionalFormatting sqref="D1288 F1288">
    <cfRule type="cellIs" dxfId="1179" priority="28" stopIfTrue="1" operator="equal">
      <formula>"?????"</formula>
    </cfRule>
  </conditionalFormatting>
  <conditionalFormatting sqref="F1281 D1281">
    <cfRule type="cellIs" dxfId="1178" priority="27" stopIfTrue="1" operator="equal">
      <formula>"?????"</formula>
    </cfRule>
  </conditionalFormatting>
  <conditionalFormatting sqref="F1282:F1286 D1282:D1286">
    <cfRule type="cellIs" dxfId="1177" priority="30" stopIfTrue="1" operator="equal">
      <formula>"?????"</formula>
    </cfRule>
  </conditionalFormatting>
  <conditionalFormatting sqref="D1287 F1287">
    <cfRule type="cellIs" dxfId="1176" priority="29" stopIfTrue="1" operator="equal">
      <formula>"?????"</formula>
    </cfRule>
  </conditionalFormatting>
  <conditionalFormatting sqref="F1306:F1309 D1306:D1309 D1313:D1323 F1313:F1323 F1299:F1303 D1299:D1303">
    <cfRule type="cellIs" dxfId="1175" priority="26" stopIfTrue="1" operator="equal">
      <formula>"?????"</formula>
    </cfRule>
  </conditionalFormatting>
  <conditionalFormatting sqref="D1304 F1304">
    <cfRule type="cellIs" dxfId="1174" priority="25" stopIfTrue="1" operator="equal">
      <formula>"?????"</formula>
    </cfRule>
  </conditionalFormatting>
  <conditionalFormatting sqref="D1305 F1305">
    <cfRule type="cellIs" dxfId="1173" priority="24" stopIfTrue="1" operator="equal">
      <formula>"?????"</formula>
    </cfRule>
  </conditionalFormatting>
  <conditionalFormatting sqref="F1310 D1310">
    <cfRule type="cellIs" dxfId="1172" priority="23" stopIfTrue="1" operator="equal">
      <formula>"?????"</formula>
    </cfRule>
  </conditionalFormatting>
  <conditionalFormatting sqref="F1311 D1311">
    <cfRule type="cellIs" dxfId="1171" priority="22" stopIfTrue="1" operator="equal">
      <formula>"?????"</formula>
    </cfRule>
  </conditionalFormatting>
  <conditionalFormatting sqref="F1312 D1312">
    <cfRule type="cellIs" dxfId="1170" priority="21" stopIfTrue="1" operator="equal">
      <formula>"?????"</formula>
    </cfRule>
  </conditionalFormatting>
  <conditionalFormatting sqref="D1324:D1353 R1353:S1353 F1324:F1353">
    <cfRule type="cellIs" dxfId="1169" priority="20" stopIfTrue="1" operator="equal">
      <formula>"?????"</formula>
    </cfRule>
  </conditionalFormatting>
  <conditionalFormatting sqref="R1884:S1886 D1884:D1886 F1884:F1886">
    <cfRule type="cellIs" dxfId="1168" priority="19" stopIfTrue="1" operator="equal">
      <formula>"?????"</formula>
    </cfRule>
  </conditionalFormatting>
  <conditionalFormatting sqref="R1889:S1890 D1889:D1890 F1889:F1890">
    <cfRule type="cellIs" dxfId="1167" priority="18" stopIfTrue="1" operator="equal">
      <formula>"?????"</formula>
    </cfRule>
  </conditionalFormatting>
  <conditionalFormatting sqref="R1893:S1895 D1893:D1895 F1893:F1895">
    <cfRule type="cellIs" dxfId="1166" priority="17" stopIfTrue="1" operator="equal">
      <formula>"?????"</formula>
    </cfRule>
  </conditionalFormatting>
  <conditionalFormatting sqref="R1897:S1899 D1897:D1899 F1897:F1899">
    <cfRule type="cellIs" dxfId="1165" priority="16" stopIfTrue="1" operator="equal">
      <formula>"?????"</formula>
    </cfRule>
  </conditionalFormatting>
  <conditionalFormatting sqref="R1887:S1887 D1887 F1887">
    <cfRule type="cellIs" dxfId="1164" priority="15" stopIfTrue="1" operator="equal">
      <formula>"?????"</formula>
    </cfRule>
  </conditionalFormatting>
  <conditionalFormatting sqref="R1891:S1891 D1891 F1891">
    <cfRule type="cellIs" dxfId="1163" priority="14" stopIfTrue="1" operator="equal">
      <formula>"?????"</formula>
    </cfRule>
  </conditionalFormatting>
  <conditionalFormatting sqref="D1843:F1843 R1843:S1843">
    <cfRule type="cellIs" dxfId="1162" priority="12" stopIfTrue="1" operator="equal">
      <formula>"?????"</formula>
    </cfRule>
  </conditionalFormatting>
  <conditionalFormatting sqref="D1880 R1880:S1880">
    <cfRule type="cellIs" dxfId="1161" priority="10" stopIfTrue="1" operator="equal">
      <formula>"?????"</formula>
    </cfRule>
  </conditionalFormatting>
  <conditionalFormatting sqref="D1881:D1882 R1881:S1882">
    <cfRule type="cellIs" dxfId="1160" priority="9" stopIfTrue="1" operator="equal">
      <formula>"?????"</formula>
    </cfRule>
  </conditionalFormatting>
  <conditionalFormatting sqref="F1880:F1881">
    <cfRule type="cellIs" dxfId="1159" priority="8" stopIfTrue="1" operator="equal">
      <formula>"?????"</formula>
    </cfRule>
  </conditionalFormatting>
  <conditionalFormatting sqref="F1882">
    <cfRule type="cellIs" dxfId="1158" priority="7" stopIfTrue="1" operator="equal">
      <formula>"?????"</formula>
    </cfRule>
  </conditionalFormatting>
  <conditionalFormatting sqref="R1110:S1220">
    <cfRule type="cellIs" dxfId="1157" priority="6" stopIfTrue="1" operator="equal">
      <formula>"?????"</formula>
    </cfRule>
  </conditionalFormatting>
  <conditionalFormatting sqref="R1222:S1352">
    <cfRule type="cellIs" dxfId="1156" priority="5" stopIfTrue="1" operator="equal">
      <formula>"?????"</formula>
    </cfRule>
  </conditionalFormatting>
  <conditionalFormatting sqref="R1222:S1352">
    <cfRule type="cellIs" dxfId="1155" priority="4" stopIfTrue="1" operator="equal">
      <formula>"?????"</formula>
    </cfRule>
  </conditionalFormatting>
  <conditionalFormatting sqref="R470:S550">
    <cfRule type="cellIs" dxfId="1154" priority="3" stopIfTrue="1" operator="equal">
      <formula>"?????"</formula>
    </cfRule>
  </conditionalFormatting>
  <conditionalFormatting sqref="R552:S628">
    <cfRule type="cellIs" dxfId="1153" priority="2" stopIfTrue="1" operator="equal">
      <formula>"?????"</formula>
    </cfRule>
  </conditionalFormatting>
  <conditionalFormatting sqref="R630:S735">
    <cfRule type="cellIs" dxfId="1152" priority="1" stopIfTrue="1" operator="equal">
      <formula>"?????"</formula>
    </cfRule>
  </conditionalFormatting>
  <pageMargins left="0.78740157499999996" right="0.78740157499999996" top="0.984251969" bottom="0.984251969" header="0.49212598499999999" footer="0.49212598499999999"/>
  <pageSetup paperSize="9" orientation="portrait" verticalDpi="1200" r:id="rId1"/>
  <headerFooter alignWithMargins="0">
    <oddFooter>&amp;L
&amp;K808080&amp;"Trebuchet MS"CLASSIFICAÇÃO DO DOCUMENTO: INTERNO</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16">
    <tabColor theme="9" tint="-0.249977111117893"/>
    <pageSetUpPr fitToPage="1"/>
  </sheetPr>
  <dimension ref="A1:AB1280"/>
  <sheetViews>
    <sheetView showGridLines="0" tabSelected="1" zoomScale="70" zoomScaleNormal="70" workbookViewId="0">
      <pane xSplit="2" ySplit="1" topLeftCell="C1124" activePane="bottomRight" state="frozen"/>
      <selection pane="topRight" activeCell="C1" sqref="C1"/>
      <selection pane="bottomLeft" activeCell="A2" sqref="A2"/>
      <selection pane="bottomRight" activeCell="G1144" sqref="G1144"/>
    </sheetView>
  </sheetViews>
  <sheetFormatPr defaultColWidth="9.33203125" defaultRowHeight="15" customHeight="1" outlineLevelCol="1"/>
  <cols>
    <col min="1" max="1" width="4.33203125" style="203" customWidth="1"/>
    <col min="2" max="2" width="30.33203125" style="204" customWidth="1"/>
    <col min="3" max="3" width="8.6640625" style="204" customWidth="1"/>
    <col min="4" max="4" width="5.33203125" style="204" customWidth="1" outlineLevel="1"/>
    <col min="5" max="5" width="9.33203125" style="204" customWidth="1" outlineLevel="1"/>
    <col min="6" max="6" width="7" style="204" customWidth="1" outlineLevel="1"/>
    <col min="7" max="7" width="8.6640625" style="204" customWidth="1" outlineLevel="1"/>
    <col min="8" max="8" width="10.33203125" style="204" customWidth="1" outlineLevel="1"/>
    <col min="9" max="9" width="12.33203125" style="204" customWidth="1" outlineLevel="1"/>
    <col min="10" max="10" width="5.6640625" style="204" customWidth="1" outlineLevel="1"/>
    <col min="11" max="11" width="14.44140625" style="204" customWidth="1" outlineLevel="1"/>
    <col min="12" max="12" width="9.44140625" style="204" customWidth="1" outlineLevel="1"/>
    <col min="13" max="13" width="12.33203125" style="204" customWidth="1"/>
    <col min="14" max="14" width="8.44140625" style="204" customWidth="1"/>
    <col min="15" max="15" width="11.6640625" style="204" customWidth="1"/>
    <col min="16" max="16" width="9" style="204" customWidth="1"/>
    <col min="17" max="17" width="9.5546875" style="204" customWidth="1"/>
    <col min="18" max="18" width="15.5546875" style="204" bestFit="1" customWidth="1"/>
    <col min="19" max="19" width="9.6640625" style="204" customWidth="1"/>
    <col min="20" max="20" width="8.6640625" style="204" customWidth="1"/>
    <col min="21" max="21" width="8" style="204" customWidth="1"/>
    <col min="22" max="22" width="10.33203125" style="204" bestFit="1" customWidth="1"/>
    <col min="23" max="23" width="8" style="205" bestFit="1" customWidth="1"/>
    <col min="24" max="24" width="22.6640625" style="205" customWidth="1"/>
    <col min="25" max="25" width="26.44140625" style="131" bestFit="1" customWidth="1"/>
    <col min="26" max="27" width="8.5546875" style="132" customWidth="1"/>
    <col min="28" max="28" width="33.44140625" style="131" customWidth="1"/>
    <col min="29" max="29" width="19.21875" style="131" customWidth="1"/>
    <col min="30" max="16384" width="9.33203125" style="131"/>
  </cols>
  <sheetData>
    <row r="1" spans="1:28" ht="30" customHeight="1" thickBot="1">
      <c r="A1" s="795" t="str">
        <f>'FRONT SHEET'!I1&amp;" - "&amp;'FRONT SHEET'!I3&amp;" - "&amp;'FRONT SHEET'!I7&amp;" - "&amp;'FRONT SHEET'!E10&amp;""</f>
        <v xml:space="preserve"> -  -  -  - CS - </v>
      </c>
      <c r="B1" s="796"/>
      <c r="C1" s="796"/>
      <c r="D1" s="796"/>
      <c r="E1" s="796"/>
      <c r="F1" s="796"/>
      <c r="G1" s="796"/>
      <c r="H1" s="796"/>
      <c r="I1" s="796"/>
      <c r="J1" s="796"/>
      <c r="K1" s="796"/>
      <c r="L1" s="796"/>
      <c r="M1" s="796"/>
      <c r="N1" s="796"/>
      <c r="O1" s="796"/>
      <c r="P1" s="796"/>
      <c r="Q1" s="796"/>
      <c r="R1" s="796"/>
      <c r="S1" s="796"/>
      <c r="T1" s="796"/>
      <c r="U1" s="796"/>
      <c r="V1" s="796"/>
      <c r="W1" s="796"/>
      <c r="X1" s="797"/>
    </row>
    <row r="2" spans="1:28" ht="38.4" customHeight="1" thickBot="1">
      <c r="A2" s="207"/>
      <c r="B2" s="208"/>
      <c r="C2" s="208"/>
      <c r="D2" s="208"/>
      <c r="E2" s="208"/>
      <c r="F2" s="208"/>
      <c r="G2" s="208"/>
      <c r="H2" s="208"/>
      <c r="I2" s="208"/>
      <c r="J2" s="208"/>
      <c r="K2" s="208"/>
      <c r="L2" s="208"/>
      <c r="M2" s="208"/>
      <c r="N2" s="208"/>
      <c r="O2" s="208"/>
      <c r="P2" s="208"/>
      <c r="Q2" s="208"/>
      <c r="R2" s="208"/>
      <c r="S2" s="208"/>
      <c r="T2" s="208"/>
      <c r="U2" s="208"/>
      <c r="V2" s="208"/>
      <c r="W2" s="208"/>
      <c r="X2" s="209"/>
      <c r="AB2" s="732" t="s">
        <v>2281</v>
      </c>
    </row>
    <row r="3" spans="1:28" ht="15" customHeight="1" thickBot="1">
      <c r="A3" s="722"/>
      <c r="B3" s="723" t="s">
        <v>2406</v>
      </c>
      <c r="C3" s="724"/>
      <c r="D3" s="724"/>
      <c r="E3" s="724"/>
      <c r="F3" s="724"/>
      <c r="G3" s="724"/>
      <c r="H3" s="724"/>
      <c r="I3" s="724"/>
      <c r="J3" s="724"/>
      <c r="K3" s="724"/>
      <c r="L3" s="724"/>
      <c r="M3" s="724"/>
      <c r="N3" s="724"/>
      <c r="O3" s="724"/>
      <c r="P3" s="724"/>
      <c r="Q3" s="724"/>
      <c r="R3" s="724"/>
      <c r="S3" s="724"/>
      <c r="T3" s="724"/>
      <c r="U3" s="725"/>
      <c r="V3" s="724"/>
      <c r="W3" s="723"/>
      <c r="X3" s="726"/>
      <c r="Y3" s="131" t="str">
        <f>B3</f>
        <v>REGIÃO DO EQUIPAMENTO</v>
      </c>
    </row>
    <row r="4" spans="1:28" ht="15" customHeight="1" thickBot="1">
      <c r="A4" s="721" t="s">
        <v>299</v>
      </c>
      <c r="B4" s="716"/>
      <c r="C4" s="717"/>
      <c r="D4" s="717"/>
      <c r="E4" s="717"/>
      <c r="F4" s="717"/>
      <c r="G4" s="717"/>
      <c r="H4" s="717"/>
      <c r="I4" s="717"/>
      <c r="J4" s="717"/>
      <c r="K4" s="717"/>
      <c r="L4" s="717"/>
      <c r="M4" s="717"/>
      <c r="N4" s="717"/>
      <c r="O4" s="717"/>
      <c r="P4" s="717"/>
      <c r="Q4" s="717"/>
      <c r="R4" s="717"/>
      <c r="S4" s="717"/>
      <c r="T4" s="717"/>
      <c r="U4" s="718"/>
      <c r="V4" s="717"/>
      <c r="W4" s="719"/>
      <c r="X4" s="720"/>
    </row>
    <row r="5" spans="1:28" ht="15" customHeight="1" thickBot="1">
      <c r="A5" s="710"/>
      <c r="B5" s="711"/>
      <c r="C5" s="712"/>
      <c r="D5" s="712"/>
      <c r="E5" s="712"/>
      <c r="F5" s="712"/>
      <c r="G5" s="712"/>
      <c r="H5" s="712"/>
      <c r="I5" s="712"/>
      <c r="J5" s="712"/>
      <c r="K5" s="712"/>
      <c r="L5" s="712"/>
      <c r="M5" s="712"/>
      <c r="N5" s="712"/>
      <c r="O5" s="712"/>
      <c r="P5" s="712"/>
      <c r="Q5" s="712"/>
      <c r="R5" s="712"/>
      <c r="S5" s="712"/>
      <c r="T5" s="712"/>
      <c r="U5" s="713"/>
      <c r="V5" s="712"/>
      <c r="W5" s="714"/>
      <c r="X5" s="715"/>
    </row>
    <row r="6" spans="1:28" ht="15" customHeight="1">
      <c r="A6" s="727"/>
      <c r="B6" s="728"/>
      <c r="C6" s="131"/>
      <c r="D6" s="131"/>
      <c r="E6" s="131"/>
      <c r="F6" s="131"/>
      <c r="G6" s="131"/>
      <c r="H6" s="131"/>
      <c r="I6" s="131"/>
      <c r="J6" s="131"/>
      <c r="K6" s="131"/>
      <c r="L6" s="131"/>
      <c r="M6" s="131"/>
      <c r="N6" s="131"/>
      <c r="O6" s="131"/>
      <c r="P6" s="131"/>
      <c r="Q6" s="131"/>
      <c r="R6" s="131"/>
      <c r="S6" s="131"/>
      <c r="T6" s="131"/>
      <c r="U6" s="729"/>
      <c r="V6" s="131"/>
      <c r="W6" s="730"/>
      <c r="X6" s="731"/>
    </row>
    <row r="7" spans="1:28" ht="15" customHeight="1">
      <c r="A7" s="727"/>
      <c r="B7" s="728"/>
      <c r="C7" s="131"/>
      <c r="D7" s="131"/>
      <c r="E7" s="131"/>
      <c r="F7" s="131"/>
      <c r="G7" s="131"/>
      <c r="H7" s="131"/>
      <c r="I7" s="131"/>
      <c r="J7" s="131"/>
      <c r="K7" s="131"/>
      <c r="L7" s="131"/>
      <c r="M7" s="131"/>
      <c r="N7" s="131"/>
      <c r="O7" s="131"/>
      <c r="P7" s="131"/>
      <c r="Q7" s="131"/>
      <c r="R7" s="131"/>
      <c r="S7" s="131"/>
      <c r="T7" s="131"/>
      <c r="U7" s="729"/>
      <c r="V7" s="131"/>
      <c r="W7" s="730"/>
      <c r="X7" s="731"/>
    </row>
    <row r="8" spans="1:28" ht="15" customHeight="1">
      <c r="A8" s="727"/>
      <c r="B8" s="728"/>
      <c r="C8" s="131"/>
      <c r="D8" s="131"/>
      <c r="E8" s="131"/>
      <c r="F8" s="131"/>
      <c r="G8" s="131"/>
      <c r="H8" s="131"/>
      <c r="I8" s="131"/>
      <c r="J8" s="131"/>
      <c r="K8" s="131"/>
      <c r="L8" s="131"/>
      <c r="M8" s="131"/>
      <c r="N8" s="131"/>
      <c r="O8" s="131"/>
      <c r="P8" s="131"/>
      <c r="Q8" s="131"/>
      <c r="R8" s="131"/>
      <c r="S8" s="131"/>
      <c r="T8" s="131"/>
      <c r="U8" s="729"/>
      <c r="V8" s="131"/>
      <c r="W8" s="730"/>
      <c r="X8" s="731"/>
    </row>
    <row r="9" spans="1:28" ht="15" customHeight="1">
      <c r="A9" s="727"/>
      <c r="B9" s="728"/>
      <c r="C9" s="131"/>
      <c r="D9" s="131"/>
      <c r="E9" s="131"/>
      <c r="F9" s="131"/>
      <c r="G9" s="131"/>
      <c r="H9" s="131"/>
      <c r="I9" s="131"/>
      <c r="J9" s="131"/>
      <c r="K9" s="131"/>
      <c r="L9" s="131"/>
      <c r="M9" s="131"/>
      <c r="N9" s="131"/>
      <c r="O9" s="131"/>
      <c r="P9" s="131"/>
      <c r="Q9" s="131"/>
      <c r="R9" s="131"/>
      <c r="S9" s="131"/>
      <c r="T9" s="131"/>
      <c r="U9" s="729"/>
      <c r="V9" s="131"/>
      <c r="W9" s="730"/>
      <c r="X9" s="731"/>
    </row>
    <row r="10" spans="1:28" ht="15" customHeight="1">
      <c r="A10" s="727"/>
      <c r="B10" s="728"/>
      <c r="C10" s="131"/>
      <c r="D10" s="131"/>
      <c r="E10" s="131"/>
      <c r="F10" s="131"/>
      <c r="G10" s="131"/>
      <c r="H10" s="131"/>
      <c r="I10" s="131"/>
      <c r="J10" s="131"/>
      <c r="K10" s="131"/>
      <c r="L10" s="131"/>
      <c r="M10" s="131"/>
      <c r="N10" s="131"/>
      <c r="O10" s="131"/>
      <c r="P10" s="131"/>
      <c r="Q10" s="131"/>
      <c r="R10" s="131"/>
      <c r="S10" s="131"/>
      <c r="T10" s="131"/>
      <c r="U10" s="729"/>
      <c r="V10" s="131"/>
      <c r="W10" s="730"/>
      <c r="X10" s="731"/>
    </row>
    <row r="11" spans="1:28" ht="15" customHeight="1">
      <c r="A11" s="727"/>
      <c r="B11" s="728"/>
      <c r="C11" s="131"/>
      <c r="D11" s="131"/>
      <c r="E11" s="131"/>
      <c r="F11" s="131"/>
      <c r="G11" s="131"/>
      <c r="H11" s="131"/>
      <c r="I11" s="131"/>
      <c r="J11" s="131"/>
      <c r="K11" s="131"/>
      <c r="L11" s="131"/>
      <c r="M11" s="131"/>
      <c r="N11" s="131"/>
      <c r="O11" s="131"/>
      <c r="P11" s="131"/>
      <c r="Q11" s="131"/>
      <c r="R11" s="131"/>
      <c r="S11" s="131"/>
      <c r="T11" s="131"/>
      <c r="U11" s="729"/>
      <c r="V11" s="131"/>
      <c r="W11" s="730"/>
      <c r="X11" s="731"/>
    </row>
    <row r="12" spans="1:28" ht="15" customHeight="1">
      <c r="A12" s="727"/>
      <c r="B12" s="728"/>
      <c r="C12" s="131"/>
      <c r="D12" s="131"/>
      <c r="E12" s="131"/>
      <c r="F12" s="131"/>
      <c r="G12" s="131"/>
      <c r="H12" s="131"/>
      <c r="I12" s="131"/>
      <c r="J12" s="131"/>
      <c r="K12" s="131"/>
      <c r="L12" s="131"/>
      <c r="M12" s="131"/>
      <c r="N12" s="131"/>
      <c r="O12" s="131"/>
      <c r="P12" s="131"/>
      <c r="Q12" s="131"/>
      <c r="R12" s="131"/>
      <c r="S12" s="131"/>
      <c r="T12" s="131"/>
      <c r="U12" s="729"/>
      <c r="V12" s="131"/>
      <c r="W12" s="730"/>
      <c r="X12" s="731"/>
    </row>
    <row r="13" spans="1:28" ht="15" customHeight="1">
      <c r="A13" s="727"/>
      <c r="B13" s="728"/>
      <c r="C13" s="131"/>
      <c r="D13" s="131"/>
      <c r="E13" s="131"/>
      <c r="F13" s="131"/>
      <c r="G13" s="131"/>
      <c r="H13" s="131"/>
      <c r="I13" s="131"/>
      <c r="J13" s="131"/>
      <c r="K13" s="131"/>
      <c r="L13" s="131"/>
      <c r="M13" s="131"/>
      <c r="N13" s="131"/>
      <c r="O13" s="131"/>
      <c r="P13" s="131"/>
      <c r="Q13" s="131"/>
      <c r="R13" s="131"/>
      <c r="S13" s="131"/>
      <c r="T13" s="131"/>
      <c r="U13" s="729"/>
      <c r="V13" s="131"/>
      <c r="W13" s="730"/>
      <c r="X13" s="731"/>
    </row>
    <row r="14" spans="1:28" ht="15" customHeight="1" thickBot="1">
      <c r="A14" s="727"/>
      <c r="B14" s="728"/>
      <c r="C14" s="131"/>
      <c r="D14" s="131"/>
      <c r="E14" s="131"/>
      <c r="F14" s="131"/>
      <c r="G14" s="131"/>
      <c r="H14" s="131"/>
      <c r="I14" s="131"/>
      <c r="J14" s="131"/>
      <c r="K14" s="131"/>
      <c r="L14" s="131"/>
      <c r="M14" s="131"/>
      <c r="N14" s="131"/>
      <c r="O14" s="131"/>
      <c r="P14" s="131"/>
      <c r="Q14" s="131"/>
      <c r="R14" s="131"/>
      <c r="S14" s="131"/>
      <c r="T14" s="131"/>
      <c r="U14" s="729"/>
      <c r="V14" s="131"/>
      <c r="W14" s="730"/>
      <c r="X14" s="731"/>
    </row>
    <row r="15" spans="1:28" ht="15" customHeight="1">
      <c r="A15" s="722"/>
      <c r="B15" s="723" t="s">
        <v>2406</v>
      </c>
      <c r="C15" s="724"/>
      <c r="D15" s="724"/>
      <c r="E15" s="724"/>
      <c r="F15" s="724"/>
      <c r="G15" s="724"/>
      <c r="H15" s="724"/>
      <c r="I15" s="724"/>
      <c r="J15" s="724"/>
      <c r="K15" s="724"/>
      <c r="L15" s="724"/>
      <c r="M15" s="724"/>
      <c r="N15" s="724"/>
      <c r="O15" s="724"/>
      <c r="P15" s="724"/>
      <c r="Q15" s="724"/>
      <c r="R15" s="724"/>
      <c r="S15" s="724"/>
      <c r="T15" s="724"/>
      <c r="U15" s="725"/>
      <c r="V15" s="724"/>
      <c r="W15" s="723"/>
      <c r="X15" s="726"/>
    </row>
    <row r="16" spans="1:28" ht="15" customHeight="1" thickBot="1">
      <c r="A16" s="278"/>
      <c r="B16" s="272" t="str">
        <f>IF(X17="","PLACA ISOLANTE",X17)</f>
        <v>PLACA ISOLANTE</v>
      </c>
      <c r="C16" s="273" t="s">
        <v>101</v>
      </c>
      <c r="D16" s="274" t="s">
        <v>102</v>
      </c>
      <c r="E16" s="274" t="s">
        <v>42</v>
      </c>
      <c r="F16" s="274" t="s">
        <v>42</v>
      </c>
      <c r="G16" s="274" t="s">
        <v>43</v>
      </c>
      <c r="H16" s="274" t="s">
        <v>44</v>
      </c>
      <c r="I16" s="274" t="s">
        <v>47</v>
      </c>
      <c r="J16" s="274" t="s">
        <v>103</v>
      </c>
      <c r="K16" s="274" t="s">
        <v>37</v>
      </c>
      <c r="L16" s="274" t="s">
        <v>39</v>
      </c>
      <c r="M16" s="274" t="s">
        <v>41</v>
      </c>
      <c r="N16" s="274" t="s">
        <v>46</v>
      </c>
      <c r="O16" s="274" t="s">
        <v>67</v>
      </c>
      <c r="P16" s="274" t="s">
        <v>113</v>
      </c>
      <c r="Q16" s="274"/>
      <c r="R16" s="274"/>
      <c r="S16" s="274" t="s">
        <v>70</v>
      </c>
      <c r="T16" s="274" t="s">
        <v>26</v>
      </c>
      <c r="U16" s="274" t="s">
        <v>38</v>
      </c>
      <c r="V16" s="275" t="s">
        <v>27</v>
      </c>
      <c r="W16" s="276"/>
      <c r="X16" s="277"/>
    </row>
    <row r="17" spans="1:27" ht="15" customHeight="1" thickBot="1">
      <c r="A17" s="214"/>
      <c r="B17" s="210"/>
      <c r="C17" s="133">
        <f>SUMIF(Densidades!A:A,'Memória TOTAL'!X17,Densidades!B:B)</f>
        <v>0</v>
      </c>
      <c r="D17" s="134">
        <f>SUMIF(Densidades!A:A,'Memória TOTAL'!X17,Densidades!C:C)</f>
        <v>0</v>
      </c>
      <c r="E17" s="135">
        <f>SUMIF(Formatos!A:A,'Memória TOTAL'!X18,Formatos!E:E)</f>
        <v>0</v>
      </c>
      <c r="F17" s="135">
        <f>SUMIF(Formatos!A:A,'Memória TOTAL'!X18,Formatos!F:F)</f>
        <v>0</v>
      </c>
      <c r="G17" s="135">
        <f>SUMIF(Formatos!A:A,'Memória TOTAL'!X18,Formatos!C:C)</f>
        <v>0</v>
      </c>
      <c r="H17" s="135">
        <f>SUMIF(Formatos!A:A,'Memória TOTAL'!X18,Formatos!D:D)</f>
        <v>0</v>
      </c>
      <c r="I17" s="135">
        <f>SUMIF(Densidades!A:A,'Memória TOTAL'!X17,Densidades!H:H)</f>
        <v>0</v>
      </c>
      <c r="J17" s="136">
        <f>SUMIF(Formatos!A:A,'Memória TOTAL'!X18,Formatos!G:G)</f>
        <v>0</v>
      </c>
      <c r="K17" s="137">
        <f>SUMIF(Densidades!A:A,'Memória TOTAL'!X17,Densidades!I:I)</f>
        <v>0</v>
      </c>
      <c r="L17" s="138">
        <v>0</v>
      </c>
      <c r="M17" s="139"/>
      <c r="N17" s="631"/>
      <c r="O17" s="139"/>
      <c r="P17" s="139"/>
      <c r="Q17" s="139"/>
      <c r="R17" s="139"/>
      <c r="S17" s="139"/>
      <c r="T17" s="139"/>
      <c r="U17" s="139"/>
      <c r="V17" s="145"/>
      <c r="W17" s="193" t="str">
        <f>IF(C17=0,"",ROUNDUP(SUM(V20:V22)*(1+L17),0))</f>
        <v/>
      </c>
      <c r="X17" s="263"/>
      <c r="Y17" s="186"/>
    </row>
    <row r="18" spans="1:27" ht="15" customHeight="1" thickBot="1">
      <c r="A18" s="214"/>
      <c r="B18" s="211"/>
      <c r="C18" s="142"/>
      <c r="D18" s="139"/>
      <c r="E18" s="135">
        <f t="shared" ref="E18:K18" si="0">E17</f>
        <v>0</v>
      </c>
      <c r="F18" s="135">
        <f t="shared" si="0"/>
        <v>0</v>
      </c>
      <c r="G18" s="135">
        <f t="shared" si="0"/>
        <v>0</v>
      </c>
      <c r="H18" s="135">
        <f t="shared" si="0"/>
        <v>0</v>
      </c>
      <c r="I18" s="135">
        <f t="shared" si="0"/>
        <v>0</v>
      </c>
      <c r="J18" s="135">
        <f t="shared" si="0"/>
        <v>0</v>
      </c>
      <c r="K18" s="137">
        <f t="shared" si="0"/>
        <v>0</v>
      </c>
      <c r="L18" s="144"/>
      <c r="M18" s="139"/>
      <c r="N18" s="135">
        <f>N17</f>
        <v>0</v>
      </c>
      <c r="O18" s="139"/>
      <c r="P18" s="139"/>
      <c r="Q18" s="139"/>
      <c r="R18" s="139"/>
      <c r="S18" s="139"/>
      <c r="T18" s="139"/>
      <c r="U18" s="139"/>
      <c r="V18" s="145"/>
      <c r="W18" s="146"/>
      <c r="X18" s="263"/>
      <c r="Y18" s="186"/>
    </row>
    <row r="19" spans="1:27" ht="15" customHeight="1" thickBot="1">
      <c r="A19" s="214"/>
      <c r="B19" s="212" t="s">
        <v>71</v>
      </c>
      <c r="C19" s="142"/>
      <c r="D19" s="139"/>
      <c r="E19" s="135">
        <f t="shared" ref="E19:K19" si="1">E18</f>
        <v>0</v>
      </c>
      <c r="F19" s="135">
        <f t="shared" si="1"/>
        <v>0</v>
      </c>
      <c r="G19" s="135">
        <f t="shared" si="1"/>
        <v>0</v>
      </c>
      <c r="H19" s="135">
        <f t="shared" si="1"/>
        <v>0</v>
      </c>
      <c r="I19" s="135">
        <f t="shared" si="1"/>
        <v>0</v>
      </c>
      <c r="J19" s="135">
        <f t="shared" si="1"/>
        <v>0</v>
      </c>
      <c r="K19" s="137">
        <f t="shared" si="1"/>
        <v>0</v>
      </c>
      <c r="L19" s="144"/>
      <c r="M19" s="139"/>
      <c r="N19" s="135">
        <f>N18</f>
        <v>0</v>
      </c>
      <c r="O19" s="139"/>
      <c r="P19" s="139"/>
      <c r="Q19" s="139"/>
      <c r="R19" s="139"/>
      <c r="S19" s="139"/>
      <c r="T19" s="139"/>
      <c r="U19" s="195" t="s">
        <v>673</v>
      </c>
      <c r="V19" s="145"/>
      <c r="W19" s="146"/>
      <c r="X19" s="147" t="s">
        <v>524</v>
      </c>
    </row>
    <row r="20" spans="1:27" ht="15" customHeight="1" thickBot="1">
      <c r="A20" s="214"/>
      <c r="B20" s="331"/>
      <c r="C20" s="159"/>
      <c r="D20" s="160"/>
      <c r="E20" s="176">
        <f t="shared" ref="E20:K20" si="2">E19</f>
        <v>0</v>
      </c>
      <c r="F20" s="176">
        <f t="shared" si="2"/>
        <v>0</v>
      </c>
      <c r="G20" s="176">
        <f t="shared" si="2"/>
        <v>0</v>
      </c>
      <c r="H20" s="176">
        <f t="shared" si="2"/>
        <v>0</v>
      </c>
      <c r="I20" s="176">
        <f t="shared" si="2"/>
        <v>0</v>
      </c>
      <c r="J20" s="176">
        <f t="shared" si="2"/>
        <v>0</v>
      </c>
      <c r="K20" s="177">
        <f t="shared" si="2"/>
        <v>0</v>
      </c>
      <c r="L20" s="162"/>
      <c r="M20" s="160"/>
      <c r="N20" s="176">
        <f>N19</f>
        <v>0</v>
      </c>
      <c r="O20" s="160"/>
      <c r="P20" s="257"/>
      <c r="Q20" s="160"/>
      <c r="R20" s="160"/>
      <c r="S20" s="257"/>
      <c r="T20" s="178" t="str">
        <f>IF(S20="","-",IF(COUNTIF(E20:H20,P20)&lt;1,"Esp. Errada",ROUNDUP(S20/((G20+N20)*(H20+N20)*((E20+N20)+(F20+N20))/2/(P20+N20)),0)))</f>
        <v>-</v>
      </c>
      <c r="U20" s="257"/>
      <c r="V20" s="179">
        <f>IF(S20="",0,IF(OR(P20=E20,P20=G20,P20=H20),T20*U20,"ESP. ERRADA"))</f>
        <v>0</v>
      </c>
      <c r="W20" s="180"/>
      <c r="X20" s="181"/>
    </row>
    <row r="21" spans="1:27" s="186" customFormat="1" ht="15" customHeight="1" thickBot="1">
      <c r="A21" s="214"/>
      <c r="B21" s="332"/>
      <c r="C21" s="224"/>
      <c r="D21" s="201"/>
      <c r="E21" s="176">
        <f t="shared" ref="E21:K21" si="3">E19</f>
        <v>0</v>
      </c>
      <c r="F21" s="176">
        <f t="shared" si="3"/>
        <v>0</v>
      </c>
      <c r="G21" s="176">
        <f t="shared" si="3"/>
        <v>0</v>
      </c>
      <c r="H21" s="176">
        <f t="shared" si="3"/>
        <v>0</v>
      </c>
      <c r="I21" s="176">
        <f t="shared" si="3"/>
        <v>0</v>
      </c>
      <c r="J21" s="176">
        <f t="shared" si="3"/>
        <v>0</v>
      </c>
      <c r="K21" s="225">
        <f t="shared" si="3"/>
        <v>0</v>
      </c>
      <c r="L21" s="162"/>
      <c r="M21" s="270"/>
      <c r="N21" s="176">
        <f>N19</f>
        <v>0</v>
      </c>
      <c r="O21" s="201"/>
      <c r="P21" s="257"/>
      <c r="Q21" s="201"/>
      <c r="R21" s="201"/>
      <c r="S21" s="201"/>
      <c r="T21" s="227" t="str">
        <f>IF(M21="","-",IF(COUNTIF(E21:H21,P21)&lt;1,"Esp. Errada",ROUNDUP(M21/IF(G21=P21,G21,(G21+N21))/IF(H21=P21,H21,(H21+N21))/IF(E21=P21,E21,(E21+N21)),0)))</f>
        <v>-</v>
      </c>
      <c r="U21" s="257"/>
      <c r="V21" s="179">
        <f>IF(M21="",0,IF(OR(P21=E21,P21=G21,P21=H21),T21*U21,"ESP. ERRADA"))</f>
        <v>0</v>
      </c>
      <c r="W21" s="229"/>
      <c r="X21" s="230"/>
      <c r="Z21" s="187"/>
      <c r="AA21" s="187"/>
    </row>
    <row r="22" spans="1:27" s="186" customFormat="1" ht="15" customHeight="1">
      <c r="A22" s="215"/>
      <c r="B22" s="210"/>
      <c r="C22" s="200"/>
      <c r="D22" s="195"/>
      <c r="E22" s="195"/>
      <c r="F22" s="195"/>
      <c r="G22" s="195"/>
      <c r="H22" s="195"/>
      <c r="I22" s="195"/>
      <c r="J22" s="196"/>
      <c r="K22" s="196"/>
      <c r="L22" s="144"/>
      <c r="M22" s="195"/>
      <c r="N22" s="195"/>
      <c r="O22" s="195"/>
      <c r="P22" s="195"/>
      <c r="Q22" s="195"/>
      <c r="R22" s="195"/>
      <c r="S22" s="195"/>
      <c r="T22" s="195"/>
      <c r="U22" s="195"/>
      <c r="V22" s="197"/>
      <c r="W22" s="185"/>
      <c r="X22" s="141"/>
      <c r="Z22" s="187"/>
      <c r="AA22" s="187"/>
    </row>
    <row r="23" spans="1:27" s="186" customFormat="1" ht="15" customHeight="1" thickBot="1">
      <c r="A23" s="215"/>
      <c r="B23" s="279" t="s">
        <v>1829</v>
      </c>
      <c r="C23" s="280"/>
      <c r="D23" s="281"/>
      <c r="E23" s="281"/>
      <c r="F23" s="281"/>
      <c r="G23" s="281"/>
      <c r="H23" s="281"/>
      <c r="I23" s="281"/>
      <c r="J23" s="282"/>
      <c r="K23" s="282"/>
      <c r="L23" s="283"/>
      <c r="M23" s="281"/>
      <c r="N23" s="281"/>
      <c r="O23" s="281"/>
      <c r="P23" s="281"/>
      <c r="Q23" s="281"/>
      <c r="R23" s="281"/>
      <c r="S23" s="284"/>
      <c r="T23" s="281" t="s">
        <v>638</v>
      </c>
      <c r="U23" s="281" t="s">
        <v>38</v>
      </c>
      <c r="V23" s="285" t="s">
        <v>27</v>
      </c>
      <c r="W23" s="286"/>
      <c r="X23" s="287"/>
      <c r="Z23" s="187"/>
      <c r="AA23" s="187"/>
    </row>
    <row r="24" spans="1:27" s="186" customFormat="1" ht="15" customHeight="1" thickBot="1">
      <c r="A24" s="215"/>
      <c r="B24" s="213" t="s">
        <v>1828</v>
      </c>
      <c r="C24" s="133">
        <f>SUMIF(Densidades!A:A,'Memória TOTAL'!X24,Densidades!B:B)</f>
        <v>0</v>
      </c>
      <c r="D24" s="134">
        <f>SUMIF(Densidades!A:A,'Memória TOTAL'!X24,Densidades!C:C)</f>
        <v>0</v>
      </c>
      <c r="E24" s="134" t="str">
        <f>IF(I24=15,"FIRECLAY MORTAR",IF(I24=16,"ALUMINA MORTAR",IF(I24=17,"BASIC MORTAR",IF(I24=18,"MORTAR","-"))))</f>
        <v>-</v>
      </c>
      <c r="F24" s="134" t="str">
        <f>IF(I24=15,"FIRECLAY MORTAR",IF(I24=16,"ALUMINA MORTAR",IF(I24=17,"BASIC MORTAR",IF(I24=18,"MORTAR","-"))))</f>
        <v>-</v>
      </c>
      <c r="G24" s="134" t="str">
        <f>IF(I24=15,"FIRECLAY MORTAR",IF(I24=16,"ALUMINA MORTAR",IF(I24=17,"BASIC MORTAR",IF(I24=18,"MORTAR","-"))))</f>
        <v>-</v>
      </c>
      <c r="H24" s="134" t="str">
        <f>IF(I24=15,"FIRECLAY MORTAR",IF(I24=16,"ALUMINA MORTAR",IF(I24=17,"BASIC MORTAR",IF(I24=18,"MORTAR","-"))))</f>
        <v>-</v>
      </c>
      <c r="I24" s="134">
        <f>SUMIF(Densidades!A:A,'Memória TOTAL'!X24,Densidades!G:G)</f>
        <v>0</v>
      </c>
      <c r="J24" s="136">
        <f>SUMIF(Formatos!A:A,'Memória TOTAL'!X25,Formatos!G:G)</f>
        <v>0</v>
      </c>
      <c r="K24" s="222">
        <f>SUMIF(Densidades!A:A,'Memória TOTAL'!X24,Densidades!I:I)</f>
        <v>0</v>
      </c>
      <c r="L24" s="188">
        <v>0</v>
      </c>
      <c r="M24" s="189"/>
      <c r="N24" s="189"/>
      <c r="O24" s="189"/>
      <c r="P24" s="189"/>
      <c r="Q24" s="189"/>
      <c r="R24" s="190"/>
      <c r="S24" s="189"/>
      <c r="T24" s="190" t="e">
        <f>(W17*G17*H17)/10^6*2</f>
        <v>#VALUE!</v>
      </c>
      <c r="U24" s="257"/>
      <c r="V24" s="192" t="e">
        <f>T24*U24</f>
        <v>#VALUE!</v>
      </c>
      <c r="W24" s="140" t="str">
        <f>IF(C24=0,"",ROUNDUP(SUM(V24:V25)*(1+L24)/D24,2)*D24)</f>
        <v/>
      </c>
      <c r="X24" s="263"/>
      <c r="Z24" s="187"/>
      <c r="AA24" s="187"/>
    </row>
    <row r="25" spans="1:27" s="186" customFormat="1" ht="15" customHeight="1">
      <c r="A25" s="215"/>
      <c r="B25" s="210"/>
      <c r="C25" s="133"/>
      <c r="D25" s="195"/>
      <c r="E25" s="195"/>
      <c r="F25" s="195"/>
      <c r="G25" s="195"/>
      <c r="H25" s="195"/>
      <c r="I25" s="195"/>
      <c r="J25" s="196"/>
      <c r="K25" s="196"/>
      <c r="L25" s="144"/>
      <c r="M25" s="195"/>
      <c r="N25" s="195"/>
      <c r="O25" s="195"/>
      <c r="P25" s="195"/>
      <c r="Q25" s="195"/>
      <c r="R25" s="195"/>
      <c r="S25" s="195"/>
      <c r="T25" s="195"/>
      <c r="U25" s="195"/>
      <c r="V25" s="197"/>
      <c r="W25" s="185"/>
      <c r="X25" s="141" t="str">
        <f>IF(AND(H24="-",G24="-",F24="-"),E24,IF(AND(H24="-",G24="-",E24="-"),F24,IF(AND(H24="-",F24="-",E24="-"),G24,H24)))</f>
        <v>-</v>
      </c>
      <c r="Z25" s="187"/>
      <c r="AA25" s="187"/>
    </row>
    <row r="26" spans="1:27" s="186" customFormat="1" ht="15" customHeight="1">
      <c r="A26" s="215"/>
      <c r="B26" s="213"/>
      <c r="C26" s="133"/>
      <c r="D26" s="195"/>
      <c r="E26" s="195"/>
      <c r="F26" s="195"/>
      <c r="G26" s="195"/>
      <c r="H26" s="195"/>
      <c r="I26" s="195"/>
      <c r="J26" s="196"/>
      <c r="K26" s="196"/>
      <c r="L26" s="144"/>
      <c r="M26" s="195"/>
      <c r="N26" s="195"/>
      <c r="O26" s="195"/>
      <c r="P26" s="195"/>
      <c r="Q26" s="195"/>
      <c r="R26" s="195"/>
      <c r="S26" s="195"/>
      <c r="T26" s="195"/>
      <c r="U26" s="195"/>
      <c r="V26" s="197"/>
      <c r="W26" s="185"/>
      <c r="X26" s="141" t="s">
        <v>2</v>
      </c>
      <c r="Z26" s="187"/>
      <c r="AA26" s="187"/>
    </row>
    <row r="27" spans="1:27" s="186" customFormat="1" ht="15" customHeight="1">
      <c r="A27" s="215"/>
      <c r="B27" s="213"/>
      <c r="C27" s="133"/>
      <c r="D27" s="195"/>
      <c r="E27" s="195"/>
      <c r="F27" s="195"/>
      <c r="G27" s="195"/>
      <c r="H27" s="195"/>
      <c r="I27" s="195"/>
      <c r="J27" s="196"/>
      <c r="K27" s="196"/>
      <c r="L27" s="144"/>
      <c r="M27" s="195"/>
      <c r="N27" s="195"/>
      <c r="O27" s="195"/>
      <c r="P27" s="195"/>
      <c r="Q27" s="195"/>
      <c r="R27" s="195"/>
      <c r="S27" s="195"/>
      <c r="T27" s="195"/>
      <c r="U27" s="195"/>
      <c r="V27" s="197"/>
      <c r="W27" s="185"/>
      <c r="X27" s="141"/>
      <c r="Z27" s="187"/>
      <c r="AA27" s="187"/>
    </row>
    <row r="28" spans="1:27" s="186" customFormat="1" ht="15" customHeight="1" thickBot="1">
      <c r="A28" s="215"/>
      <c r="B28" s="272" t="str">
        <f>IF(X29="","WATERPROOFING",X29)</f>
        <v>DIKASIL SK</v>
      </c>
      <c r="C28" s="280"/>
      <c r="D28" s="281"/>
      <c r="E28" s="281"/>
      <c r="F28" s="281"/>
      <c r="G28" s="281"/>
      <c r="H28" s="281"/>
      <c r="I28" s="281"/>
      <c r="J28" s="282"/>
      <c r="K28" s="282"/>
      <c r="L28" s="283"/>
      <c r="M28" s="281"/>
      <c r="N28" s="281"/>
      <c r="O28" s="281"/>
      <c r="P28" s="281"/>
      <c r="Q28" s="281"/>
      <c r="R28" s="281"/>
      <c r="S28" s="284"/>
      <c r="T28" s="281" t="s">
        <v>638</v>
      </c>
      <c r="U28" s="281" t="s">
        <v>38</v>
      </c>
      <c r="V28" s="285" t="s">
        <v>27</v>
      </c>
      <c r="W28" s="286"/>
      <c r="X28" s="287"/>
      <c r="Z28" s="187"/>
      <c r="AA28" s="187"/>
    </row>
    <row r="29" spans="1:27" s="186" customFormat="1" ht="15" customHeight="1" thickBot="1">
      <c r="A29" s="215"/>
      <c r="B29" s="213" t="s">
        <v>1830</v>
      </c>
      <c r="C29" s="133">
        <f>SUMIF(Densidades!A:A,'Memória TOTAL'!X29,Densidades!B:B)</f>
        <v>1.53</v>
      </c>
      <c r="D29" s="134">
        <f>SUMIF(Densidades!A:A,'Memória TOTAL'!X29,Densidades!C:C)</f>
        <v>20</v>
      </c>
      <c r="E29" s="134" t="str">
        <f>IF(I29=15,"FIRECLAY MORTAR",IF(I29=16,"ALUMINA MORTAR",IF(I29=17,"BASIC MORTAR",IF(I29=18,"MORTAR","-"))))</f>
        <v>-</v>
      </c>
      <c r="F29" s="134" t="str">
        <f>IF(I29=15,"FIRECLAY MORTAR",IF(I29=16,"ALUMINA MORTAR",IF(I29=17,"BASIC MORTAR",IF(I29=18,"MORTAR","-"))))</f>
        <v>-</v>
      </c>
      <c r="G29" s="134" t="str">
        <f>IF(I29=15,"FIRECLAY MORTAR",IF(I29=16,"ALUMINA MORTAR",IF(I29=17,"BASIC MORTAR",IF(I29=18,"MORTAR","-"))))</f>
        <v>-</v>
      </c>
      <c r="H29" s="134" t="str">
        <f>IF(I29=15,"FIRECLAY MORTAR",IF(I29=16,"ALUMINA MORTAR",IF(I29=17,"BASIC MORTAR",IF(I29=18,"MORTAR","-"))))</f>
        <v>-</v>
      </c>
      <c r="I29" s="134">
        <f>SUMIF(Densidades!A:A,'Memória TOTAL'!X29,Densidades!G:G)</f>
        <v>0</v>
      </c>
      <c r="J29" s="136">
        <f>SUMIF(Formatos!A:A,'Memória TOTAL'!X30,Formatos!G:G)</f>
        <v>0</v>
      </c>
      <c r="K29" s="222">
        <f>SUMIF(Densidades!A:A,'Memória TOTAL'!X29,Densidades!I:I)</f>
        <v>8</v>
      </c>
      <c r="L29" s="188">
        <v>0</v>
      </c>
      <c r="M29" s="189"/>
      <c r="N29" s="189"/>
      <c r="O29" s="189"/>
      <c r="P29" s="189"/>
      <c r="Q29" s="189"/>
      <c r="R29" s="190"/>
      <c r="S29" s="189"/>
      <c r="T29" s="190" t="e">
        <f>(W17*G17*H17)/10^6/2</f>
        <v>#VALUE!</v>
      </c>
      <c r="U29" s="257"/>
      <c r="V29" s="192" t="e">
        <f>T29*C29*U29</f>
        <v>#VALUE!</v>
      </c>
      <c r="W29" s="140" t="str">
        <f>IFERROR(IF(C29=0,"",ROUNDUP(SUM(V29:V30)*(1+L29)/D29,2)*D29),"")</f>
        <v/>
      </c>
      <c r="X29" s="263" t="s">
        <v>1827</v>
      </c>
      <c r="Z29" s="187"/>
      <c r="AA29" s="187"/>
    </row>
    <row r="30" spans="1:27" s="186" customFormat="1" ht="15" customHeight="1">
      <c r="A30" s="215"/>
      <c r="B30" s="210"/>
      <c r="C30" s="133"/>
      <c r="D30" s="195"/>
      <c r="E30" s="195"/>
      <c r="F30" s="195"/>
      <c r="G30" s="195"/>
      <c r="H30" s="195"/>
      <c r="I30" s="195"/>
      <c r="J30" s="196"/>
      <c r="K30" s="196"/>
      <c r="L30" s="144"/>
      <c r="M30" s="195"/>
      <c r="N30" s="195"/>
      <c r="O30" s="195"/>
      <c r="P30" s="195"/>
      <c r="Q30" s="195"/>
      <c r="R30" s="195"/>
      <c r="S30" s="195"/>
      <c r="T30" s="195"/>
      <c r="U30" s="195"/>
      <c r="V30" s="197"/>
      <c r="W30" s="185"/>
      <c r="X30" s="141" t="str">
        <f>IF(AND(H29="-",G29="-",F29="-"),E29,IF(AND(H29="-",G29="-",E29="-"),F29,IF(AND(H29="-",F29="-",E29="-"),G29,H29)))</f>
        <v>-</v>
      </c>
      <c r="Z30" s="187"/>
      <c r="AA30" s="187"/>
    </row>
    <row r="31" spans="1:27" s="186" customFormat="1" ht="15" customHeight="1">
      <c r="A31" s="215"/>
      <c r="B31" s="213"/>
      <c r="C31" s="133"/>
      <c r="D31" s="195"/>
      <c r="E31" s="195"/>
      <c r="F31" s="195"/>
      <c r="G31" s="195"/>
      <c r="H31" s="195"/>
      <c r="I31" s="195"/>
      <c r="J31" s="196"/>
      <c r="K31" s="196"/>
      <c r="L31" s="144"/>
      <c r="M31" s="195"/>
      <c r="N31" s="195"/>
      <c r="O31" s="195"/>
      <c r="P31" s="195"/>
      <c r="Q31" s="195"/>
      <c r="R31" s="195"/>
      <c r="S31" s="195"/>
      <c r="T31" s="195"/>
      <c r="U31" s="195"/>
      <c r="V31" s="197"/>
      <c r="W31" s="185"/>
      <c r="X31" s="141" t="s">
        <v>2</v>
      </c>
      <c r="Z31" s="187"/>
      <c r="AA31" s="187"/>
    </row>
    <row r="32" spans="1:27" s="186" customFormat="1" ht="15" customHeight="1">
      <c r="A32" s="215"/>
      <c r="B32" s="213"/>
      <c r="C32" s="133"/>
      <c r="D32" s="195"/>
      <c r="E32" s="195"/>
      <c r="F32" s="195"/>
      <c r="G32" s="195"/>
      <c r="H32" s="195"/>
      <c r="I32" s="195"/>
      <c r="J32" s="196"/>
      <c r="K32" s="196"/>
      <c r="L32" s="144"/>
      <c r="M32" s="195"/>
      <c r="N32" s="195"/>
      <c r="O32" s="195"/>
      <c r="P32" s="195"/>
      <c r="Q32" s="195"/>
      <c r="R32" s="195"/>
      <c r="S32" s="195"/>
      <c r="T32" s="195"/>
      <c r="U32" s="195"/>
      <c r="V32" s="197"/>
      <c r="W32" s="185"/>
      <c r="X32" s="141"/>
      <c r="Z32" s="187"/>
      <c r="AA32" s="187"/>
    </row>
    <row r="33" spans="1:27" s="186" customFormat="1" ht="15" customHeight="1" thickBot="1">
      <c r="A33" s="215"/>
      <c r="B33" s="272" t="str">
        <f>IF(X34="","WATERPROOFING",X34)</f>
        <v>LATEX PAINT</v>
      </c>
      <c r="C33" s="280"/>
      <c r="D33" s="281"/>
      <c r="E33" s="281"/>
      <c r="F33" s="281"/>
      <c r="G33" s="281"/>
      <c r="H33" s="281"/>
      <c r="I33" s="281"/>
      <c r="J33" s="282"/>
      <c r="K33" s="282"/>
      <c r="L33" s="283"/>
      <c r="M33" s="281"/>
      <c r="N33" s="281"/>
      <c r="O33" s="281"/>
      <c r="P33" s="281"/>
      <c r="Q33" s="281"/>
      <c r="R33" s="281"/>
      <c r="S33" s="284"/>
      <c r="T33" s="281" t="s">
        <v>638</v>
      </c>
      <c r="U33" s="281" t="s">
        <v>38</v>
      </c>
      <c r="V33" s="285" t="s">
        <v>27</v>
      </c>
      <c r="W33" s="286"/>
      <c r="X33" s="287"/>
      <c r="Z33" s="187"/>
      <c r="AA33" s="187"/>
    </row>
    <row r="34" spans="1:27" s="186" customFormat="1" ht="15" customHeight="1" thickBot="1">
      <c r="A34" s="215"/>
      <c r="B34" s="213" t="s">
        <v>1831</v>
      </c>
      <c r="C34" s="133">
        <f>SUMIF(Densidades!A:A,'Memória TOTAL'!X34,Densidades!B:B)</f>
        <v>1.5</v>
      </c>
      <c r="D34" s="134">
        <f>SUMIF(Densidades!A:A,'Memória TOTAL'!X34,Densidades!C:C)</f>
        <v>1</v>
      </c>
      <c r="E34" s="134" t="str">
        <f>IF(I34=15,"FIRECLAY MORTAR",IF(I34=16,"ALUMINA MORTAR",IF(I34=17,"BASIC MORTAR",IF(I34=18,"MORTAR","-"))))</f>
        <v>-</v>
      </c>
      <c r="F34" s="134" t="str">
        <f>IF(I34=15,"FIRECLAY MORTAR",IF(I34=16,"ALUMINA MORTAR",IF(I34=17,"BASIC MORTAR",IF(I34=18,"MORTAR","-"))))</f>
        <v>-</v>
      </c>
      <c r="G34" s="134" t="str">
        <f>IF(I34=15,"FIRECLAY MORTAR",IF(I34=16,"ALUMINA MORTAR",IF(I34=17,"BASIC MORTAR",IF(I34=18,"MORTAR","-"))))</f>
        <v>-</v>
      </c>
      <c r="H34" s="134" t="str">
        <f>IF(I34=15,"FIRECLAY MORTAR",IF(I34=16,"ALUMINA MORTAR",IF(I34=17,"BASIC MORTAR",IF(I34=18,"MORTAR","-"))))</f>
        <v>-</v>
      </c>
      <c r="I34" s="134">
        <f>SUMIF(Densidades!A:A,'Memória TOTAL'!X34,Densidades!G:G)</f>
        <v>24</v>
      </c>
      <c r="J34" s="136">
        <f>SUMIF(Formatos!A:A,'Memória TOTAL'!X35,Formatos!G:G)</f>
        <v>0</v>
      </c>
      <c r="K34" s="222">
        <f>SUMIF(Densidades!A:A,'Memória TOTAL'!X34,Densidades!I:I)</f>
        <v>9</v>
      </c>
      <c r="L34" s="188">
        <v>0</v>
      </c>
      <c r="M34" s="189"/>
      <c r="N34" s="189"/>
      <c r="O34" s="189"/>
      <c r="P34" s="189"/>
      <c r="Q34" s="189"/>
      <c r="R34" s="190"/>
      <c r="S34" s="189"/>
      <c r="T34" s="190" t="e">
        <f>(W17*G17*H17)/10^6/(200/18)</f>
        <v>#VALUE!</v>
      </c>
      <c r="U34" s="257"/>
      <c r="V34" s="192" t="e">
        <f>T34*U34</f>
        <v>#VALUE!</v>
      </c>
      <c r="W34" s="140" t="str">
        <f>IFERROR(IF(C34=0,"",ROUNDUP(SUM(V34:V35)*(1+L34)/D34,2)*D34),"")</f>
        <v/>
      </c>
      <c r="X34" s="263" t="s">
        <v>523</v>
      </c>
      <c r="Z34" s="187"/>
      <c r="AA34" s="187"/>
    </row>
    <row r="35" spans="1:27" s="186" customFormat="1" ht="15" customHeight="1">
      <c r="A35" s="215"/>
      <c r="B35" s="210"/>
      <c r="C35" s="133"/>
      <c r="D35" s="195"/>
      <c r="E35" s="195"/>
      <c r="F35" s="195"/>
      <c r="G35" s="195"/>
      <c r="H35" s="195"/>
      <c r="I35" s="195"/>
      <c r="J35" s="196"/>
      <c r="K35" s="196"/>
      <c r="L35" s="144"/>
      <c r="M35" s="195"/>
      <c r="N35" s="195"/>
      <c r="O35" s="195"/>
      <c r="P35" s="195"/>
      <c r="Q35" s="195"/>
      <c r="R35" s="195"/>
      <c r="S35" s="195"/>
      <c r="T35" s="195"/>
      <c r="U35" s="195"/>
      <c r="V35" s="197"/>
      <c r="W35" s="185"/>
      <c r="X35" s="141" t="str">
        <f>IF(AND(H34="-",G34="-",F34="-"),E34,IF(AND(H34="-",G34="-",E34="-"),F34,IF(AND(H34="-",F34="-",E34="-"),G34,H34)))</f>
        <v>-</v>
      </c>
      <c r="Z35" s="187"/>
      <c r="AA35" s="187"/>
    </row>
    <row r="36" spans="1:27" s="186" customFormat="1" ht="15" customHeight="1">
      <c r="A36" s="215"/>
      <c r="B36" s="213"/>
      <c r="C36" s="133"/>
      <c r="D36" s="195"/>
      <c r="E36" s="195"/>
      <c r="F36" s="195"/>
      <c r="G36" s="195"/>
      <c r="H36" s="195"/>
      <c r="I36" s="195"/>
      <c r="J36" s="196"/>
      <c r="K36" s="196"/>
      <c r="L36" s="144"/>
      <c r="M36" s="195"/>
      <c r="N36" s="195"/>
      <c r="O36" s="195"/>
      <c r="P36" s="195"/>
      <c r="Q36" s="195"/>
      <c r="R36" s="195"/>
      <c r="S36" s="195"/>
      <c r="T36" s="195"/>
      <c r="U36" s="195"/>
      <c r="V36" s="197"/>
      <c r="W36" s="185"/>
      <c r="X36" s="141" t="s">
        <v>75</v>
      </c>
      <c r="Z36" s="187"/>
      <c r="AA36" s="187"/>
    </row>
    <row r="37" spans="1:27" s="186" customFormat="1" ht="15" customHeight="1">
      <c r="A37" s="215"/>
      <c r="B37" s="213"/>
      <c r="C37" s="133"/>
      <c r="D37" s="195"/>
      <c r="E37" s="195"/>
      <c r="F37" s="195"/>
      <c r="G37" s="195"/>
      <c r="H37" s="195"/>
      <c r="I37" s="195"/>
      <c r="J37" s="196"/>
      <c r="K37" s="196"/>
      <c r="L37" s="144"/>
      <c r="M37" s="195"/>
      <c r="N37" s="195"/>
      <c r="O37" s="195"/>
      <c r="P37" s="195"/>
      <c r="Q37" s="195"/>
      <c r="R37" s="195"/>
      <c r="S37" s="195"/>
      <c r="T37" s="195"/>
      <c r="U37" s="195"/>
      <c r="V37" s="197"/>
      <c r="W37" s="185"/>
      <c r="X37" s="141"/>
      <c r="Z37" s="187"/>
      <c r="AA37" s="187"/>
    </row>
    <row r="38" spans="1:27" s="186" customFormat="1" ht="15" customHeight="1" thickBot="1">
      <c r="A38" s="215"/>
      <c r="B38" s="509"/>
      <c r="C38" s="509"/>
      <c r="D38" s="512"/>
      <c r="E38" s="512"/>
      <c r="F38" s="512"/>
      <c r="G38" s="512"/>
      <c r="H38" s="512"/>
      <c r="I38" s="512"/>
      <c r="J38" s="512"/>
      <c r="K38" s="512"/>
      <c r="L38" s="512"/>
      <c r="M38" s="512"/>
      <c r="N38" s="512"/>
      <c r="O38" s="512"/>
      <c r="P38" s="512"/>
      <c r="Q38" s="512"/>
      <c r="R38" s="512"/>
      <c r="S38" s="512"/>
      <c r="T38" s="512"/>
      <c r="U38" s="512"/>
      <c r="V38" s="512"/>
      <c r="W38" s="512"/>
      <c r="X38" s="513"/>
      <c r="Z38" s="187"/>
      <c r="AA38" s="187"/>
    </row>
    <row r="39" spans="1:27" ht="15" customHeight="1" thickBot="1">
      <c r="A39" s="214"/>
      <c r="B39" s="272" t="str">
        <f>IF(X40="","MONOLÍTICO",X40)</f>
        <v>MONOLÍTICO</v>
      </c>
      <c r="C39" s="273" t="s">
        <v>101</v>
      </c>
      <c r="D39" s="274" t="s">
        <v>102</v>
      </c>
      <c r="E39" s="274" t="s">
        <v>109</v>
      </c>
      <c r="F39" s="274"/>
      <c r="G39" s="274"/>
      <c r="H39" s="274"/>
      <c r="I39" s="274"/>
      <c r="J39" s="274" t="s">
        <v>103</v>
      </c>
      <c r="K39" s="274" t="s">
        <v>37</v>
      </c>
      <c r="L39" s="274" t="s">
        <v>39</v>
      </c>
      <c r="M39" s="274" t="s">
        <v>41</v>
      </c>
      <c r="N39" s="274"/>
      <c r="O39" s="274"/>
      <c r="P39" s="274" t="s">
        <v>17</v>
      </c>
      <c r="Q39" s="274"/>
      <c r="R39" s="274"/>
      <c r="S39" s="274" t="s">
        <v>40</v>
      </c>
      <c r="T39" s="274" t="s">
        <v>26</v>
      </c>
      <c r="U39" s="274" t="s">
        <v>38</v>
      </c>
      <c r="V39" s="275" t="s">
        <v>27</v>
      </c>
      <c r="W39" s="276"/>
      <c r="X39" s="277"/>
    </row>
    <row r="40" spans="1:27" ht="15" customHeight="1" thickBot="1">
      <c r="A40" s="214"/>
      <c r="B40" s="211"/>
      <c r="C40" s="133">
        <f>SUMIF(Densidades!A:A,'Memória TOTAL'!X40,Densidades!B:B)</f>
        <v>0</v>
      </c>
      <c r="D40" s="134">
        <f>SUMIF(Densidades!A:A,'Memória TOTAL'!X40,Densidades!C:C)</f>
        <v>0</v>
      </c>
      <c r="E40" s="134">
        <f>SUMIF(Densidades!A:A,'Memória TOTAL'!X40,Densidades!G:G)</f>
        <v>0</v>
      </c>
      <c r="F40" s="134" t="str">
        <f>IF(E40=1,"FIRECLAY CASTABLE",IF(E40=2,"ALUMINA CASTABLE",IF(E40=3,"ALUMINA MASS",IF(E40=4,"SILICA MASS","-"))))</f>
        <v>-</v>
      </c>
      <c r="G40" s="134" t="str">
        <f>IF(E40=5,"BASIC CASTABLE",IF(E40=6,"BASIC MASS",IF(E40=7,"CARBON MASS",IF(E40=8,"CHROMITE CASTABLE","-"))))</f>
        <v>-</v>
      </c>
      <c r="H40" s="134" t="str">
        <f>IF(E40=9,"INSULATING CASTABLE",IF(E40=10,"FIRECLAY MASS",IF(E40=11,"CHROMITE MASS",IF(E40=12,"FIRECLAY PLASTIC.","-"))))</f>
        <v>-</v>
      </c>
      <c r="I40" s="134" t="str">
        <f>IF(E40=13,"ALUMINA PLASTIC",IF(E40=14,"FILLING SAND",IF(E40=15,"FIRECLAY MORTAR",IF(E40=16,"ALUMINA MORTAR",IF(E40=17,"BASIC MORTAR",IF(E40=18,"MORTAR","-"))))))</f>
        <v>-</v>
      </c>
      <c r="J40" s="136">
        <f>SUMIF(Formatos!A:A,'Memória TOTAL'!X41,Formatos!G:G)</f>
        <v>0</v>
      </c>
      <c r="K40" s="137">
        <f>SUMIF(Densidades!A:A,'Memória TOTAL'!X40,Densidades!I:I)</f>
        <v>0</v>
      </c>
      <c r="L40" s="138">
        <v>0</v>
      </c>
      <c r="M40" s="139"/>
      <c r="N40" s="139"/>
      <c r="O40" s="139"/>
      <c r="P40" s="139"/>
      <c r="Q40" s="139"/>
      <c r="R40" s="139"/>
      <c r="S40" s="139"/>
      <c r="T40" s="139"/>
      <c r="U40" s="139"/>
      <c r="V40" s="145"/>
      <c r="W40" s="140" t="str">
        <f>IF(C40=0,"",ROUNDUP(SUM(V42:V45)*(1+L40)/D40,0)*D40)</f>
        <v/>
      </c>
      <c r="X40" s="263"/>
    </row>
    <row r="41" spans="1:27" ht="15" customHeight="1">
      <c r="A41" s="214"/>
      <c r="B41" s="211"/>
      <c r="C41" s="133"/>
      <c r="D41" s="139"/>
      <c r="E41" s="139"/>
      <c r="F41" s="139"/>
      <c r="G41" s="139"/>
      <c r="H41" s="139"/>
      <c r="I41" s="139"/>
      <c r="J41" s="143"/>
      <c r="K41" s="143"/>
      <c r="L41" s="144"/>
      <c r="M41" s="139"/>
      <c r="N41" s="139"/>
      <c r="O41" s="139"/>
      <c r="P41" s="139"/>
      <c r="Q41" s="139"/>
      <c r="R41" s="139"/>
      <c r="S41" s="139"/>
      <c r="T41" s="139"/>
      <c r="U41" s="139"/>
      <c r="V41" s="145"/>
      <c r="W41" s="146"/>
      <c r="X41" s="147" t="str">
        <f>IF(AND(I40="-",H40="-",G40="-"),F40,IF(AND(I40="-",H40="-",F40="-"),G40,IF(AND(I40="-",G40="-",F40="-"),H40,I40)))</f>
        <v>-</v>
      </c>
    </row>
    <row r="42" spans="1:27" ht="15" customHeight="1" thickBot="1">
      <c r="A42" s="214"/>
      <c r="B42" s="212" t="s">
        <v>71</v>
      </c>
      <c r="C42" s="133"/>
      <c r="D42" s="139"/>
      <c r="E42" s="139"/>
      <c r="F42" s="139"/>
      <c r="G42" s="139"/>
      <c r="H42" s="139"/>
      <c r="I42" s="139"/>
      <c r="J42" s="143"/>
      <c r="K42" s="143"/>
      <c r="L42" s="144"/>
      <c r="M42" s="139"/>
      <c r="N42" s="139"/>
      <c r="O42" s="139"/>
      <c r="P42" s="139"/>
      <c r="Q42" s="139"/>
      <c r="R42" s="139"/>
      <c r="S42" s="139"/>
      <c r="T42" s="139"/>
      <c r="U42" s="139"/>
      <c r="V42" s="145"/>
      <c r="W42" s="146"/>
      <c r="X42" s="147" t="s">
        <v>2</v>
      </c>
    </row>
    <row r="43" spans="1:27" ht="15" customHeight="1" thickBot="1">
      <c r="A43" s="214"/>
      <c r="B43" s="331"/>
      <c r="C43" s="198">
        <f>C40</f>
        <v>0</v>
      </c>
      <c r="D43" s="160"/>
      <c r="E43" s="160"/>
      <c r="F43" s="160"/>
      <c r="G43" s="160"/>
      <c r="H43" s="160"/>
      <c r="I43" s="160"/>
      <c r="J43" s="161"/>
      <c r="K43" s="161"/>
      <c r="L43" s="199">
        <v>0</v>
      </c>
      <c r="M43" s="257"/>
      <c r="N43" s="160"/>
      <c r="O43" s="160"/>
      <c r="P43" s="160"/>
      <c r="Q43" s="160"/>
      <c r="R43" s="160"/>
      <c r="S43" s="160"/>
      <c r="T43" s="178">
        <f>M43/10^6</f>
        <v>0</v>
      </c>
      <c r="U43" s="257"/>
      <c r="V43" s="179">
        <f>ROUNDUP(T43*C43*(1+L43),0)*U43</f>
        <v>0</v>
      </c>
      <c r="W43" s="180"/>
      <c r="X43" s="181"/>
    </row>
    <row r="44" spans="1:27" s="186" customFormat="1" ht="15" customHeight="1" thickBot="1">
      <c r="A44" s="215"/>
      <c r="B44" s="332"/>
      <c r="C44" s="198">
        <f>C43</f>
        <v>0</v>
      </c>
      <c r="D44" s="201"/>
      <c r="E44" s="201"/>
      <c r="F44" s="201"/>
      <c r="G44" s="201"/>
      <c r="H44" s="201"/>
      <c r="I44" s="201"/>
      <c r="J44" s="234"/>
      <c r="K44" s="234"/>
      <c r="L44" s="237">
        <v>0</v>
      </c>
      <c r="M44" s="201"/>
      <c r="N44" s="201"/>
      <c r="O44" s="201"/>
      <c r="P44" s="257"/>
      <c r="Q44" s="160"/>
      <c r="R44" s="160"/>
      <c r="S44" s="257"/>
      <c r="T44" s="227">
        <f>S44*P44/10^6</f>
        <v>0</v>
      </c>
      <c r="U44" s="257"/>
      <c r="V44" s="228">
        <f>ROUNDUP(T44*C44*(1+L44),0)*U44</f>
        <v>0</v>
      </c>
      <c r="W44" s="229"/>
      <c r="X44" s="230"/>
      <c r="Z44" s="187"/>
      <c r="AA44" s="187"/>
    </row>
    <row r="45" spans="1:27" ht="15" customHeight="1">
      <c r="A45" s="215"/>
      <c r="B45" s="211"/>
      <c r="C45" s="142"/>
      <c r="D45" s="139"/>
      <c r="E45" s="139"/>
      <c r="F45" s="139"/>
      <c r="G45" s="139"/>
      <c r="H45" s="139"/>
      <c r="I45" s="139"/>
      <c r="J45" s="143"/>
      <c r="K45" s="143"/>
      <c r="L45" s="144"/>
      <c r="M45" s="139"/>
      <c r="N45" s="195"/>
      <c r="O45" s="195"/>
      <c r="P45" s="195"/>
      <c r="Q45" s="195"/>
      <c r="R45" s="139"/>
      <c r="S45" s="139"/>
      <c r="T45" s="139"/>
      <c r="U45" s="139"/>
      <c r="V45" s="145"/>
      <c r="W45" s="146"/>
      <c r="X45" s="147"/>
    </row>
    <row r="46" spans="1:27" ht="15" customHeight="1">
      <c r="A46" s="215"/>
      <c r="B46" s="211"/>
      <c r="C46" s="142"/>
      <c r="D46" s="139"/>
      <c r="E46" s="139"/>
      <c r="F46" s="139"/>
      <c r="G46" s="139"/>
      <c r="H46" s="139"/>
      <c r="I46" s="139"/>
      <c r="J46" s="143"/>
      <c r="K46" s="143"/>
      <c r="L46" s="144"/>
      <c r="M46" s="139"/>
      <c r="N46" s="195"/>
      <c r="O46" s="195"/>
      <c r="P46" s="195"/>
      <c r="Q46" s="195"/>
      <c r="R46" s="139"/>
      <c r="S46" s="139"/>
      <c r="T46" s="139"/>
      <c r="U46" s="139"/>
      <c r="V46" s="145"/>
      <c r="W46" s="146"/>
      <c r="X46" s="147"/>
    </row>
    <row r="47" spans="1:27" ht="15" customHeight="1" thickBot="1">
      <c r="A47" s="214"/>
      <c r="B47" s="272" t="str">
        <f>IF(X48="","MONOLÍTICO+ADITIVO",X48)</f>
        <v>MONOLÍTICO+ADITIVO</v>
      </c>
      <c r="C47" s="273" t="s">
        <v>101</v>
      </c>
      <c r="D47" s="274" t="s">
        <v>102</v>
      </c>
      <c r="E47" s="274" t="s">
        <v>109</v>
      </c>
      <c r="F47" s="274"/>
      <c r="G47" s="274"/>
      <c r="H47" s="274"/>
      <c r="I47" s="274"/>
      <c r="J47" s="274" t="s">
        <v>103</v>
      </c>
      <c r="K47" s="274" t="s">
        <v>37</v>
      </c>
      <c r="L47" s="274" t="s">
        <v>39</v>
      </c>
      <c r="M47" s="274" t="s">
        <v>41</v>
      </c>
      <c r="N47" s="274"/>
      <c r="O47" s="274"/>
      <c r="P47" s="274" t="s">
        <v>17</v>
      </c>
      <c r="Q47" s="274"/>
      <c r="R47" s="274"/>
      <c r="S47" s="274" t="s">
        <v>40</v>
      </c>
      <c r="T47" s="274" t="s">
        <v>26</v>
      </c>
      <c r="U47" s="274" t="s">
        <v>38</v>
      </c>
      <c r="V47" s="275" t="s">
        <v>27</v>
      </c>
      <c r="W47" s="276"/>
      <c r="X47" s="277"/>
    </row>
    <row r="48" spans="1:27" ht="15" customHeight="1" thickBot="1">
      <c r="A48" s="214"/>
      <c r="B48" s="211"/>
      <c r="C48" s="133">
        <f>SUMIF(Densidades!A:A,'Memória TOTAL'!X48,Densidades!B:B)</f>
        <v>0</v>
      </c>
      <c r="D48" s="134">
        <f>SUMIF(Densidades!A:A,'Memória TOTAL'!X48,Densidades!C:C)</f>
        <v>0</v>
      </c>
      <c r="E48" s="134">
        <f>SUMIF(Densidades!A:A,'Memória TOTAL'!X48,Densidades!G:G)</f>
        <v>0</v>
      </c>
      <c r="F48" s="134" t="str">
        <f>IF(E48=1,"FIRECLAY CASTABLE",IF(E48=2,"ALUMINA CASTABLE",IF(E48=3,"ALUMINA MASS",IF(E48=4,"SILICA MASS","-"))))</f>
        <v>-</v>
      </c>
      <c r="G48" s="134" t="str">
        <f>IF(E48=5,"BASIC CASTABLE",IF(E48=6,"BASIC MASS",IF(E48=7,"CARBON MASS",IF(E48=8,"CHROMITE CASTABLE","-"))))</f>
        <v>-</v>
      </c>
      <c r="H48" s="134" t="str">
        <f>IF(E48=9,"INSULATING CASTABLE",IF(E48=10,"FIRECLAY MASS",IF(E48=11,"CHROMITE MASS",IF(E48=12,"FIRECLAY PLASTIC.","-"))))</f>
        <v>-</v>
      </c>
      <c r="I48" s="134" t="str">
        <f>IF(E48=13,"ALUMINA PLASTIC",IF(E48=14,"FILLING SAND",IF(E48=15,"FIRECLAY MORTAR",IF(E48=16,"ALUMINA MORTAR",IF(E48=17,"BASIC MORTAR",IF(E48=18,"MORTAR","-"))))))</f>
        <v>-</v>
      </c>
      <c r="J48" s="136">
        <f>SUMIF(Formatos!A:A,'Memória TOTAL'!X49,Formatos!G:G)</f>
        <v>0</v>
      </c>
      <c r="K48" s="137">
        <f>SUMIF(Densidades!A:A,'Memória TOTAL'!X48,Densidades!I:I)</f>
        <v>0</v>
      </c>
      <c r="L48" s="138">
        <v>0</v>
      </c>
      <c r="M48" s="139"/>
      <c r="N48" s="139"/>
      <c r="O48" s="139"/>
      <c r="P48" s="139"/>
      <c r="Q48" s="139"/>
      <c r="R48" s="139"/>
      <c r="S48" s="139"/>
      <c r="T48" s="139"/>
      <c r="U48" s="139"/>
      <c r="V48" s="145"/>
      <c r="W48" s="140" t="str">
        <f>IF(C48=0,"",ROUNDUP(SUM(V50:V53)*(1+L48)/D48,0)*D48)</f>
        <v/>
      </c>
      <c r="X48" s="263"/>
    </row>
    <row r="49" spans="1:27" ht="15" customHeight="1">
      <c r="A49" s="214"/>
      <c r="B49" s="211"/>
      <c r="C49" s="133"/>
      <c r="D49" s="139"/>
      <c r="E49" s="139"/>
      <c r="F49" s="139"/>
      <c r="G49" s="139"/>
      <c r="H49" s="139"/>
      <c r="I49" s="139"/>
      <c r="J49" s="143"/>
      <c r="K49" s="143"/>
      <c r="L49" s="144"/>
      <c r="M49" s="139"/>
      <c r="N49" s="139"/>
      <c r="O49" s="139"/>
      <c r="P49" s="139"/>
      <c r="Q49" s="139"/>
      <c r="R49" s="139"/>
      <c r="S49" s="139"/>
      <c r="T49" s="139"/>
      <c r="U49" s="139"/>
      <c r="V49" s="145"/>
      <c r="W49" s="146"/>
      <c r="X49" s="147" t="str">
        <f>IF(AND(I48="-",H48="-",G48="-"),F48,IF(AND(I48="-",H48="-",F48="-"),G48,IF(AND(I48="-",G48="-",F48="-"),H48,I48)))</f>
        <v>-</v>
      </c>
    </row>
    <row r="50" spans="1:27" ht="15" customHeight="1" thickBot="1">
      <c r="A50" s="214"/>
      <c r="B50" s="212" t="s">
        <v>71</v>
      </c>
      <c r="C50" s="133"/>
      <c r="D50" s="139"/>
      <c r="E50" s="139"/>
      <c r="F50" s="139"/>
      <c r="G50" s="139"/>
      <c r="H50" s="139"/>
      <c r="I50" s="139"/>
      <c r="J50" s="143"/>
      <c r="K50" s="143"/>
      <c r="L50" s="144"/>
      <c r="M50" s="139"/>
      <c r="N50" s="139"/>
      <c r="O50" s="139"/>
      <c r="P50" s="139"/>
      <c r="Q50" s="139"/>
      <c r="R50" s="139"/>
      <c r="S50" s="139"/>
      <c r="T50" s="139"/>
      <c r="U50" s="139"/>
      <c r="V50" s="145"/>
      <c r="W50" s="146"/>
      <c r="X50" s="147" t="s">
        <v>2</v>
      </c>
    </row>
    <row r="51" spans="1:27" ht="15" customHeight="1" thickBot="1">
      <c r="A51" s="214"/>
      <c r="B51" s="331"/>
      <c r="C51" s="198">
        <f>C48</f>
        <v>0</v>
      </c>
      <c r="D51" s="160"/>
      <c r="E51" s="160"/>
      <c r="F51" s="160"/>
      <c r="G51" s="160"/>
      <c r="H51" s="160"/>
      <c r="I51" s="160"/>
      <c r="J51" s="161"/>
      <c r="K51" s="161"/>
      <c r="L51" s="199">
        <v>0</v>
      </c>
      <c r="M51" s="257"/>
      <c r="N51" s="160"/>
      <c r="O51" s="160"/>
      <c r="P51" s="160"/>
      <c r="Q51" s="160"/>
      <c r="R51" s="160"/>
      <c r="S51" s="160"/>
      <c r="T51" s="178">
        <f>M51/10^6</f>
        <v>0</v>
      </c>
      <c r="U51" s="257"/>
      <c r="V51" s="179">
        <f>ROUNDUP(T51*C51*(1+L51),0)*U51</f>
        <v>0</v>
      </c>
      <c r="W51" s="180"/>
      <c r="X51" s="181"/>
    </row>
    <row r="52" spans="1:27" s="186" customFormat="1" ht="15" customHeight="1" thickBot="1">
      <c r="A52" s="215"/>
      <c r="B52" s="332"/>
      <c r="C52" s="198">
        <f>C51</f>
        <v>0</v>
      </c>
      <c r="D52" s="201"/>
      <c r="E52" s="201"/>
      <c r="F52" s="201"/>
      <c r="G52" s="201"/>
      <c r="H52" s="201"/>
      <c r="I52" s="201"/>
      <c r="J52" s="234"/>
      <c r="K52" s="234"/>
      <c r="L52" s="237">
        <v>0</v>
      </c>
      <c r="M52" s="201"/>
      <c r="N52" s="201"/>
      <c r="O52" s="201"/>
      <c r="P52" s="257"/>
      <c r="Q52" s="160"/>
      <c r="R52" s="160"/>
      <c r="S52" s="257"/>
      <c r="T52" s="227">
        <f>S52*P52/10^6</f>
        <v>0</v>
      </c>
      <c r="U52" s="257"/>
      <c r="V52" s="228">
        <f>ROUNDUP(T52*C52*(1+L52),0)*U52</f>
        <v>0</v>
      </c>
      <c r="W52" s="229"/>
      <c r="X52" s="230"/>
      <c r="Z52" s="187"/>
      <c r="AA52" s="187"/>
    </row>
    <row r="53" spans="1:27" ht="15" customHeight="1">
      <c r="A53" s="215"/>
      <c r="B53" s="211"/>
      <c r="C53" s="142"/>
      <c r="D53" s="139"/>
      <c r="E53" s="139"/>
      <c r="F53" s="139"/>
      <c r="G53" s="139"/>
      <c r="H53" s="139"/>
      <c r="I53" s="139"/>
      <c r="J53" s="143"/>
      <c r="K53" s="143"/>
      <c r="L53" s="144"/>
      <c r="M53" s="139"/>
      <c r="N53" s="195"/>
      <c r="O53" s="195"/>
      <c r="P53" s="195"/>
      <c r="Q53" s="195"/>
      <c r="R53" s="139"/>
      <c r="S53" s="139"/>
      <c r="T53" s="139"/>
      <c r="U53" s="139"/>
      <c r="V53" s="145"/>
      <c r="W53" s="146"/>
      <c r="X53" s="147"/>
    </row>
    <row r="54" spans="1:27" ht="15" customHeight="1">
      <c r="A54" s="215"/>
      <c r="B54" s="211"/>
      <c r="C54" s="142"/>
      <c r="D54" s="139"/>
      <c r="E54" s="139"/>
      <c r="F54" s="139"/>
      <c r="G54" s="139"/>
      <c r="H54" s="139"/>
      <c r="I54" s="139"/>
      <c r="J54" s="143"/>
      <c r="K54" s="143"/>
      <c r="L54" s="144"/>
      <c r="M54" s="139"/>
      <c r="N54" s="195"/>
      <c r="O54" s="195"/>
      <c r="P54" s="195"/>
      <c r="Q54" s="195"/>
      <c r="R54" s="139"/>
      <c r="S54" s="139"/>
      <c r="T54" s="139"/>
      <c r="U54" s="139"/>
      <c r="V54" s="145"/>
      <c r="W54" s="146"/>
      <c r="X54" s="147"/>
    </row>
    <row r="55" spans="1:27" ht="15" customHeight="1">
      <c r="A55" s="215"/>
      <c r="B55" s="211"/>
      <c r="C55" s="142"/>
      <c r="D55" s="139"/>
      <c r="E55" s="139"/>
      <c r="F55" s="139"/>
      <c r="G55" s="139"/>
      <c r="H55" s="139"/>
      <c r="I55" s="139"/>
      <c r="J55" s="143"/>
      <c r="K55" s="143"/>
      <c r="L55" s="144"/>
      <c r="M55" s="139"/>
      <c r="N55" s="195"/>
      <c r="O55" s="195"/>
      <c r="P55" s="195"/>
      <c r="Q55" s="195"/>
      <c r="R55" s="139"/>
      <c r="S55" s="139"/>
      <c r="T55" s="139"/>
      <c r="U55" s="139"/>
      <c r="V55" s="145"/>
      <c r="W55" s="146"/>
      <c r="X55" s="147"/>
    </row>
    <row r="56" spans="1:27" ht="15" customHeight="1">
      <c r="A56" s="215"/>
      <c r="B56" s="210"/>
      <c r="C56" s="142"/>
      <c r="D56" s="139"/>
      <c r="E56" s="139"/>
      <c r="F56" s="139"/>
      <c r="G56" s="139"/>
      <c r="H56" s="139"/>
      <c r="I56" s="139"/>
      <c r="J56" s="143"/>
      <c r="K56" s="143"/>
      <c r="L56" s="144"/>
      <c r="M56" s="139"/>
      <c r="N56" s="195"/>
      <c r="O56" s="195"/>
      <c r="P56" s="195"/>
      <c r="Q56" s="195"/>
      <c r="R56" s="139"/>
      <c r="S56" s="139"/>
      <c r="T56" s="139"/>
      <c r="U56" s="139"/>
      <c r="V56" s="145"/>
      <c r="W56" s="146"/>
      <c r="X56" s="147"/>
    </row>
    <row r="57" spans="1:27" ht="15" customHeight="1">
      <c r="A57" s="215"/>
      <c r="B57" s="211"/>
      <c r="C57" s="142"/>
      <c r="D57" s="139"/>
      <c r="E57" s="139"/>
      <c r="F57" s="139"/>
      <c r="G57" s="139"/>
      <c r="H57" s="139"/>
      <c r="I57" s="139"/>
      <c r="J57" s="143"/>
      <c r="K57" s="143"/>
      <c r="L57" s="144"/>
      <c r="M57" s="139"/>
      <c r="N57" s="195"/>
      <c r="O57" s="195"/>
      <c r="P57" s="195"/>
      <c r="Q57" s="195"/>
      <c r="R57" s="139"/>
      <c r="S57" s="139"/>
      <c r="T57" s="139"/>
      <c r="U57" s="139"/>
      <c r="V57" s="145"/>
      <c r="W57" s="146"/>
      <c r="X57" s="147"/>
    </row>
    <row r="58" spans="1:27" ht="15" customHeight="1" thickBot="1">
      <c r="A58" s="215"/>
      <c r="B58" s="211"/>
      <c r="C58" s="142"/>
      <c r="D58" s="139"/>
      <c r="E58" s="139"/>
      <c r="F58" s="139"/>
      <c r="G58" s="139"/>
      <c r="H58" s="139"/>
      <c r="I58" s="139"/>
      <c r="J58" s="143"/>
      <c r="K58" s="143"/>
      <c r="L58" s="144"/>
      <c r="M58" s="139"/>
      <c r="N58" s="195"/>
      <c r="O58" s="195"/>
      <c r="P58" s="195"/>
      <c r="Q58" s="195"/>
      <c r="R58" s="139"/>
      <c r="S58" s="139"/>
      <c r="T58" s="139"/>
      <c r="U58" s="139"/>
      <c r="V58" s="145"/>
      <c r="W58" s="146"/>
      <c r="X58" s="147"/>
    </row>
    <row r="59" spans="1:27" s="186" customFormat="1" ht="15" customHeight="1" thickBot="1">
      <c r="A59" s="278"/>
      <c r="B59" s="213" t="s">
        <v>1098</v>
      </c>
      <c r="C59" s="133">
        <f>SUMIF(Densidades!A:A,'Memória TOTAL'!X59,Densidades!B:B)</f>
        <v>1.3</v>
      </c>
      <c r="D59" s="134">
        <f>SUMIF(Densidades!A:A,'Memória TOTAL'!X59,Densidades!C:C)</f>
        <v>20</v>
      </c>
      <c r="E59" s="134"/>
      <c r="F59" s="134" t="str">
        <f>IF(E59=1,"FIRECLAY CASTABLE",IF(E59=2,"ALUMINA CASTABLE",IF(E59=3,"ALUMINA MASS",IF(E59=4,"SILICA MASS","-"))))</f>
        <v>-</v>
      </c>
      <c r="G59" s="134" t="str">
        <f>IF(E59=5,"BASIC CASTABLE",IF(E59=6,"BASIC MASS",IF(E59=7,"CARBON MASS",IF(E59=8,"CHROMITE CASTABLE","-"))))</f>
        <v>-</v>
      </c>
      <c r="H59" s="134" t="str">
        <f>IF(E59=9,"INSULATING CASTABLE",IF(E59=10,"FIRECLAY MASS",IF(E59=11,"CHROMITE MASS",IF(E59=12,"FIRECLAY PLASTIC.","-"))))</f>
        <v>-</v>
      </c>
      <c r="I59" s="134" t="str">
        <f>IF(E59=13,"ALUMINA PLASTIC",IF(E59=14,"FILLING SAND",IF(E59=15,"FIRECLAY MORTAR",IF(E59=16,"ALUMINA MORTAR",IF(E59=17,"BASIC MORTAR",IF(E59=18,"MORTAR","-"))))))</f>
        <v>-</v>
      </c>
      <c r="J59" s="136">
        <f>SUMIF(Formatos!A:A,'Memória TOTAL'!X60,Formatos!G:G)</f>
        <v>0</v>
      </c>
      <c r="K59" s="222">
        <f>SUMIF(Densidades!A:A,'Memória TOTAL'!X59,Densidades!I:I)</f>
        <v>8</v>
      </c>
      <c r="L59" s="223">
        <v>0</v>
      </c>
      <c r="M59" s="195"/>
      <c r="N59" s="195"/>
      <c r="O59" s="195"/>
      <c r="P59" s="195"/>
      <c r="Q59" s="195"/>
      <c r="R59" s="183" t="s">
        <v>1102</v>
      </c>
      <c r="S59" s="139"/>
      <c r="T59" s="183" t="s">
        <v>26</v>
      </c>
      <c r="U59" s="139"/>
      <c r="V59" s="184" t="s">
        <v>27</v>
      </c>
      <c r="W59" s="193" t="str">
        <f>IFERROR(IF(C59=0,"",ROUNDUP(SUM(V60:V60)*(1+L59),2)),"")</f>
        <v/>
      </c>
      <c r="X59" s="263" t="s">
        <v>1098</v>
      </c>
      <c r="Z59" s="187"/>
      <c r="AA59" s="187"/>
    </row>
    <row r="60" spans="1:27" s="186" customFormat="1" ht="15" customHeight="1" thickBot="1">
      <c r="A60" s="214"/>
      <c r="B60" s="194"/>
      <c r="C60" s="200"/>
      <c r="D60" s="195"/>
      <c r="E60" s="195"/>
      <c r="F60" s="195"/>
      <c r="G60" s="195"/>
      <c r="H60" s="195"/>
      <c r="I60" s="195"/>
      <c r="J60" s="196"/>
      <c r="K60" s="196"/>
      <c r="L60" s="144"/>
      <c r="M60" s="195"/>
      <c r="N60" s="195"/>
      <c r="O60" s="195"/>
      <c r="P60" s="195"/>
      <c r="Q60" s="195"/>
      <c r="R60" s="257"/>
      <c r="S60" s="139"/>
      <c r="T60" s="139" t="e">
        <f>W48/100*R60</f>
        <v>#VALUE!</v>
      </c>
      <c r="U60" s="139"/>
      <c r="V60" s="228" t="e">
        <f>ROUNDUP(T60*C59/D59,0)*D59</f>
        <v>#VALUE!</v>
      </c>
      <c r="W60" s="185"/>
      <c r="X60" s="147" t="str">
        <f>IF(AND(I59="-",H59="-",G59="-"),F59,IF(AND(I59="-",H59="-",F59="-"),G59,IF(AND(I59="-",G59="-",F59="-"),H59,I59)))</f>
        <v>-</v>
      </c>
      <c r="Z60" s="187"/>
      <c r="AA60" s="187"/>
    </row>
    <row r="61" spans="1:27" s="186" customFormat="1" ht="15" customHeight="1">
      <c r="A61" s="214"/>
      <c r="B61" s="791" t="s">
        <v>1888</v>
      </c>
      <c r="C61" s="200"/>
      <c r="D61" s="195"/>
      <c r="E61" s="195"/>
      <c r="F61" s="195"/>
      <c r="G61" s="195"/>
      <c r="H61" s="195"/>
      <c r="I61" s="195"/>
      <c r="J61" s="196"/>
      <c r="K61" s="196"/>
      <c r="L61" s="144"/>
      <c r="M61" s="195"/>
      <c r="N61" s="195"/>
      <c r="O61" s="195"/>
      <c r="P61" s="195"/>
      <c r="Q61" s="195"/>
      <c r="R61" s="195"/>
      <c r="S61" s="195"/>
      <c r="T61" s="195"/>
      <c r="U61" s="139"/>
      <c r="V61" s="197"/>
      <c r="W61" s="185"/>
      <c r="X61" s="141" t="s">
        <v>2</v>
      </c>
      <c r="Z61" s="187"/>
      <c r="AA61" s="187"/>
    </row>
    <row r="62" spans="1:27" s="186" customFormat="1" ht="15" customHeight="1">
      <c r="A62" s="214"/>
      <c r="B62" s="792"/>
      <c r="C62" s="200"/>
      <c r="D62" s="195"/>
      <c r="E62" s="195"/>
      <c r="F62" s="195"/>
      <c r="G62" s="195"/>
      <c r="H62" s="195"/>
      <c r="I62" s="195"/>
      <c r="J62" s="196"/>
      <c r="K62" s="196"/>
      <c r="L62" s="144"/>
      <c r="M62" s="195"/>
      <c r="N62" s="195"/>
      <c r="O62" s="195"/>
      <c r="P62" s="195"/>
      <c r="Q62" s="195"/>
      <c r="R62" s="195"/>
      <c r="S62" s="195"/>
      <c r="T62" s="195"/>
      <c r="U62" s="195"/>
      <c r="V62" s="197"/>
      <c r="W62" s="185"/>
      <c r="X62" s="141"/>
      <c r="Z62" s="187"/>
      <c r="AA62" s="187"/>
    </row>
    <row r="63" spans="1:27" ht="15" customHeight="1">
      <c r="A63" s="215"/>
      <c r="B63" s="211"/>
      <c r="C63" s="142"/>
      <c r="D63" s="139"/>
      <c r="E63" s="139"/>
      <c r="F63" s="139"/>
      <c r="G63" s="139"/>
      <c r="H63" s="139"/>
      <c r="I63" s="139"/>
      <c r="J63" s="143"/>
      <c r="K63" s="143"/>
      <c r="L63" s="144"/>
      <c r="M63" s="139"/>
      <c r="N63" s="195"/>
      <c r="O63" s="195"/>
      <c r="P63" s="195"/>
      <c r="Q63" s="195"/>
      <c r="R63" s="139"/>
      <c r="S63" s="139"/>
      <c r="T63" s="139"/>
      <c r="U63" s="139"/>
      <c r="V63" s="145"/>
      <c r="W63" s="146"/>
      <c r="X63" s="147"/>
    </row>
    <row r="64" spans="1:27" ht="15" customHeight="1" thickBot="1">
      <c r="A64" s="215"/>
      <c r="B64" s="509"/>
      <c r="C64" s="509"/>
      <c r="D64" s="512"/>
      <c r="E64" s="512"/>
      <c r="F64" s="512"/>
      <c r="G64" s="512"/>
      <c r="H64" s="512"/>
      <c r="I64" s="512"/>
      <c r="J64" s="512"/>
      <c r="K64" s="512"/>
      <c r="L64" s="512"/>
      <c r="M64" s="512"/>
      <c r="N64" s="512"/>
      <c r="O64" s="512"/>
      <c r="P64" s="512"/>
      <c r="Q64" s="512"/>
      <c r="R64" s="512"/>
      <c r="S64" s="512"/>
      <c r="T64" s="512"/>
      <c r="U64" s="512"/>
      <c r="V64" s="512"/>
      <c r="W64" s="512"/>
      <c r="X64" s="513"/>
    </row>
    <row r="65" spans="1:27" s="186" customFormat="1" ht="15" customHeight="1" thickBot="1">
      <c r="A65" s="278"/>
      <c r="B65" s="272" t="str">
        <f>IF(X66="","ÂNCORA METÁLICA",X66)</f>
        <v>ÂNCORA METÁLICA</v>
      </c>
      <c r="C65" s="219" t="s">
        <v>101</v>
      </c>
      <c r="D65" s="183" t="s">
        <v>102</v>
      </c>
      <c r="E65" s="183"/>
      <c r="F65" s="183"/>
      <c r="G65" s="183"/>
      <c r="H65" s="183"/>
      <c r="I65" s="183"/>
      <c r="J65" s="183" t="s">
        <v>103</v>
      </c>
      <c r="K65" s="183" t="s">
        <v>37</v>
      </c>
      <c r="L65" s="183" t="s">
        <v>39</v>
      </c>
      <c r="M65" s="183"/>
      <c r="N65" s="183" t="s">
        <v>106</v>
      </c>
      <c r="O65" s="183" t="s">
        <v>68</v>
      </c>
      <c r="P65" s="183" t="s">
        <v>69</v>
      </c>
      <c r="Q65" s="183" t="s">
        <v>107</v>
      </c>
      <c r="R65" s="183" t="s">
        <v>53</v>
      </c>
      <c r="S65" s="183" t="s">
        <v>40</v>
      </c>
      <c r="T65" s="183" t="s">
        <v>26</v>
      </c>
      <c r="U65" s="183" t="s">
        <v>38</v>
      </c>
      <c r="V65" s="184" t="s">
        <v>27</v>
      </c>
      <c r="W65" s="220"/>
      <c r="X65" s="221"/>
      <c r="Z65" s="187"/>
      <c r="AA65" s="187"/>
    </row>
    <row r="66" spans="1:27" s="186" customFormat="1" ht="15" customHeight="1" thickBot="1">
      <c r="A66" s="214"/>
      <c r="B66" s="194"/>
      <c r="C66" s="133">
        <f>SUMIF(Densidades!A:A,'Memória TOTAL'!X66,Densidades!B:B)</f>
        <v>0</v>
      </c>
      <c r="D66" s="134">
        <f>SUMIF(Densidades!A:A,'Memória TOTAL'!X66,Densidades!C:C)</f>
        <v>0</v>
      </c>
      <c r="E66" s="134"/>
      <c r="F66" s="134"/>
      <c r="G66" s="134"/>
      <c r="H66" s="134"/>
      <c r="I66" s="134"/>
      <c r="J66" s="136">
        <f>SUMIF(Formatos!A:A,'Memória TOTAL'!X67,Formatos!G:G)</f>
        <v>0</v>
      </c>
      <c r="K66" s="222">
        <f>SUMIF(Densidades!A:A,'Memória TOTAL'!X66,Densidades!I:I)</f>
        <v>0</v>
      </c>
      <c r="L66" s="223">
        <v>0</v>
      </c>
      <c r="M66" s="195"/>
      <c r="N66" s="195"/>
      <c r="O66" s="195"/>
      <c r="P66" s="195"/>
      <c r="Q66" s="195"/>
      <c r="R66" s="195"/>
      <c r="S66" s="195"/>
      <c r="T66" s="195"/>
      <c r="U66" s="195"/>
      <c r="V66" s="197"/>
      <c r="W66" s="193" t="str">
        <f>IF(C66=0,"",ROUNDUP(SUM(V68:V72)*(1+L66),0))</f>
        <v/>
      </c>
      <c r="X66" s="263"/>
      <c r="Z66" s="187"/>
      <c r="AA66" s="187"/>
    </row>
    <row r="67" spans="1:27" s="186" customFormat="1" ht="15" customHeight="1" thickBot="1">
      <c r="A67" s="214"/>
      <c r="B67" s="194"/>
      <c r="C67" s="200"/>
      <c r="D67" s="195"/>
      <c r="E67" s="195"/>
      <c r="F67" s="195"/>
      <c r="G67" s="195"/>
      <c r="H67" s="195"/>
      <c r="I67" s="195"/>
      <c r="J67" s="196"/>
      <c r="K67" s="196"/>
      <c r="L67" s="144"/>
      <c r="M67" s="195"/>
      <c r="N67" s="195"/>
      <c r="O67" s="195"/>
      <c r="P67" s="195"/>
      <c r="Q67" s="195"/>
      <c r="R67" s="195"/>
      <c r="S67" s="195"/>
      <c r="T67" s="195"/>
      <c r="U67" s="195"/>
      <c r="V67" s="197"/>
      <c r="W67" s="185"/>
      <c r="X67" s="263"/>
      <c r="Z67" s="187"/>
      <c r="AA67" s="187"/>
    </row>
    <row r="68" spans="1:27" s="186" customFormat="1" ht="15" customHeight="1" thickBot="1">
      <c r="A68" s="214"/>
      <c r="B68" s="168"/>
      <c r="C68" s="200"/>
      <c r="D68" s="195"/>
      <c r="E68" s="195"/>
      <c r="F68" s="195"/>
      <c r="G68" s="195"/>
      <c r="H68" s="195"/>
      <c r="I68" s="195"/>
      <c r="J68" s="196"/>
      <c r="K68" s="196"/>
      <c r="L68" s="144"/>
      <c r="M68" s="195"/>
      <c r="N68" s="195"/>
      <c r="O68" s="195"/>
      <c r="P68" s="195"/>
      <c r="Q68" s="195"/>
      <c r="R68" s="195"/>
      <c r="S68" s="195"/>
      <c r="T68" s="195"/>
      <c r="U68" s="195"/>
      <c r="V68" s="197"/>
      <c r="W68" s="185"/>
      <c r="X68" s="141" t="s">
        <v>524</v>
      </c>
      <c r="Z68" s="187"/>
      <c r="AA68" s="187"/>
    </row>
    <row r="69" spans="1:27" s="186" customFormat="1" ht="15" customHeight="1" thickBot="1">
      <c r="A69" s="214"/>
      <c r="B69" s="331"/>
      <c r="C69" s="224"/>
      <c r="D69" s="201"/>
      <c r="E69" s="201"/>
      <c r="F69" s="201"/>
      <c r="G69" s="201"/>
      <c r="H69" s="201"/>
      <c r="I69" s="201"/>
      <c r="J69" s="234"/>
      <c r="K69" s="234"/>
      <c r="L69" s="162"/>
      <c r="M69" s="201"/>
      <c r="N69" s="163"/>
      <c r="O69" s="163"/>
      <c r="P69" s="257"/>
      <c r="Q69" s="163"/>
      <c r="R69" s="201"/>
      <c r="S69" s="257"/>
      <c r="T69" s="227" t="str">
        <f>IF(P69="","-",ROUNDUP(S69/P69/P69,0))</f>
        <v>-</v>
      </c>
      <c r="U69" s="257"/>
      <c r="V69" s="228" t="str">
        <f>IF(T69="-","-",ROUNDUP(T69*U69,0))</f>
        <v>-</v>
      </c>
      <c r="W69" s="229"/>
      <c r="X69" s="230"/>
      <c r="Z69" s="187"/>
      <c r="AA69" s="187"/>
    </row>
    <row r="70" spans="1:27" s="186" customFormat="1" ht="15" customHeight="1" thickBot="1">
      <c r="A70" s="215"/>
      <c r="B70" s="331"/>
      <c r="C70" s="224"/>
      <c r="D70" s="201"/>
      <c r="E70" s="201"/>
      <c r="F70" s="201"/>
      <c r="G70" s="201"/>
      <c r="H70" s="201"/>
      <c r="I70" s="201"/>
      <c r="J70" s="234"/>
      <c r="K70" s="234"/>
      <c r="L70" s="162"/>
      <c r="M70" s="201" t="str">
        <f>IF(Q70="","",ROUND(Q70/P70,0))</f>
        <v/>
      </c>
      <c r="N70" s="257"/>
      <c r="O70" s="257"/>
      <c r="P70" s="160"/>
      <c r="Q70" s="160"/>
      <c r="R70" s="257">
        <v>360</v>
      </c>
      <c r="S70" s="201"/>
      <c r="T70" s="227" t="e">
        <f>ROUNDUP(N70*PI()/O70/360*R70,)</f>
        <v>#DIV/0!</v>
      </c>
      <c r="U70" s="257"/>
      <c r="V70" s="228" t="str">
        <f>IFERROR(IF(T70="-","-",ROUNDUP(T70*U70,0)),"-")</f>
        <v>-</v>
      </c>
      <c r="W70" s="229"/>
      <c r="X70" s="230"/>
      <c r="Z70" s="187"/>
      <c r="AA70" s="187"/>
    </row>
    <row r="71" spans="1:27" s="186" customFormat="1" ht="15" customHeight="1" thickBot="1">
      <c r="A71" s="214"/>
      <c r="B71" s="331"/>
      <c r="C71" s="224"/>
      <c r="D71" s="201"/>
      <c r="E71" s="201"/>
      <c r="F71" s="201"/>
      <c r="G71" s="201"/>
      <c r="H71" s="201"/>
      <c r="I71" s="201"/>
      <c r="J71" s="234"/>
      <c r="K71" s="234"/>
      <c r="L71" s="162"/>
      <c r="M71" s="201" t="str">
        <f>IF(Q71="","",ROUND(Q71/P71,0))</f>
        <v/>
      </c>
      <c r="N71" s="257"/>
      <c r="O71" s="257"/>
      <c r="P71" s="257"/>
      <c r="Q71" s="257"/>
      <c r="R71" s="257">
        <v>360</v>
      </c>
      <c r="S71" s="201"/>
      <c r="T71" s="227" t="str">
        <f>IF(P71="","-",(ROUND(PI()*N71/O71*R71/360,0))*(ROUND(Q71/P71,0)))</f>
        <v>-</v>
      </c>
      <c r="U71" s="257"/>
      <c r="V71" s="228" t="str">
        <f>IF(T71="-","-",ROUNDUP(T71*U71,0))</f>
        <v>-</v>
      </c>
      <c r="W71" s="229"/>
      <c r="X71" s="230"/>
      <c r="Z71" s="187"/>
      <c r="AA71" s="187"/>
    </row>
    <row r="72" spans="1:27" s="186" customFormat="1" ht="15" customHeight="1">
      <c r="A72" s="215"/>
      <c r="B72" s="167"/>
      <c r="C72" s="200"/>
      <c r="D72" s="195"/>
      <c r="E72" s="195"/>
      <c r="F72" s="195"/>
      <c r="G72" s="195"/>
      <c r="H72" s="195"/>
      <c r="I72" s="195"/>
      <c r="J72" s="196"/>
      <c r="K72" s="196"/>
      <c r="L72" s="144"/>
      <c r="M72" s="195"/>
      <c r="N72" s="195"/>
      <c r="O72" s="151"/>
      <c r="P72" s="157"/>
      <c r="Q72" s="151"/>
      <c r="R72" s="195"/>
      <c r="S72" s="195"/>
      <c r="T72" s="195"/>
      <c r="U72" s="195"/>
      <c r="V72" s="197"/>
      <c r="W72" s="185"/>
      <c r="X72" s="141"/>
      <c r="Z72" s="187"/>
      <c r="AA72" s="187"/>
    </row>
    <row r="73" spans="1:27" s="186" customFormat="1" ht="15" customHeight="1" thickBot="1">
      <c r="A73" s="214"/>
      <c r="B73" s="509"/>
      <c r="C73" s="509"/>
      <c r="D73" s="512"/>
      <c r="E73" s="512"/>
      <c r="F73" s="512"/>
      <c r="G73" s="512"/>
      <c r="H73" s="512"/>
      <c r="I73" s="512"/>
      <c r="J73" s="512"/>
      <c r="K73" s="512"/>
      <c r="L73" s="512"/>
      <c r="M73" s="512"/>
      <c r="N73" s="512"/>
      <c r="O73" s="512"/>
      <c r="P73" s="512"/>
      <c r="Q73" s="512"/>
      <c r="R73" s="512"/>
      <c r="S73" s="512"/>
      <c r="T73" s="512"/>
      <c r="U73" s="512"/>
      <c r="V73" s="512"/>
      <c r="W73" s="512"/>
      <c r="X73" s="513"/>
      <c r="Z73" s="187"/>
      <c r="AA73" s="187"/>
    </row>
    <row r="74" spans="1:27" s="186" customFormat="1" ht="15" customHeight="1" thickBot="1">
      <c r="A74" s="214"/>
      <c r="B74" s="272" t="str">
        <f>IF(X75="","ÂNCORA CERÂMICA",X75)</f>
        <v>ÂNCORA CERÂMICA</v>
      </c>
      <c r="C74" s="219" t="s">
        <v>101</v>
      </c>
      <c r="D74" s="184" t="s">
        <v>102</v>
      </c>
      <c r="E74" s="184"/>
      <c r="F74" s="184"/>
      <c r="G74" s="184"/>
      <c r="H74" s="184"/>
      <c r="I74" s="184"/>
      <c r="J74" s="184" t="s">
        <v>103</v>
      </c>
      <c r="K74" s="184" t="s">
        <v>37</v>
      </c>
      <c r="L74" s="184" t="s">
        <v>39</v>
      </c>
      <c r="M74" s="184"/>
      <c r="N74" s="184" t="s">
        <v>106</v>
      </c>
      <c r="O74" s="184" t="s">
        <v>68</v>
      </c>
      <c r="P74" s="184" t="s">
        <v>69</v>
      </c>
      <c r="Q74" s="184" t="s">
        <v>107</v>
      </c>
      <c r="R74" s="184" t="s">
        <v>53</v>
      </c>
      <c r="S74" s="184" t="s">
        <v>40</v>
      </c>
      <c r="T74" s="184" t="s">
        <v>26</v>
      </c>
      <c r="U74" s="184" t="s">
        <v>38</v>
      </c>
      <c r="V74" s="184" t="s">
        <v>27</v>
      </c>
      <c r="W74" s="220"/>
      <c r="X74" s="221"/>
      <c r="Z74" s="187"/>
      <c r="AA74" s="187"/>
    </row>
    <row r="75" spans="1:27" s="186" customFormat="1" ht="15" customHeight="1" thickBot="1">
      <c r="A75" s="215"/>
      <c r="B75" s="194"/>
      <c r="C75" s="133">
        <f>SUMIF(Densidades!A:A,'Memória TOTAL'!X75,Densidades!B:B)</f>
        <v>0</v>
      </c>
      <c r="D75" s="134">
        <f>SUMIF(Densidades!A:A,'Memória TOTAL'!X75,Densidades!C:C)</f>
        <v>0</v>
      </c>
      <c r="E75" s="134"/>
      <c r="F75" s="134"/>
      <c r="G75" s="134"/>
      <c r="H75" s="134"/>
      <c r="I75" s="134"/>
      <c r="J75" s="136">
        <f>SUMIF(Formatos!A:A,'Memória TOTAL'!X76,Formatos!G:G)</f>
        <v>0</v>
      </c>
      <c r="K75" s="222">
        <f>SUMIF(Densidades!A:A,'Memória TOTAL'!X75,Densidades!I:I)</f>
        <v>0</v>
      </c>
      <c r="L75" s="223">
        <v>0</v>
      </c>
      <c r="M75" s="195"/>
      <c r="N75" s="195"/>
      <c r="O75" s="195"/>
      <c r="P75" s="195"/>
      <c r="Q75" s="195"/>
      <c r="R75" s="195"/>
      <c r="S75" s="195"/>
      <c r="T75" s="195"/>
      <c r="U75" s="195"/>
      <c r="V75" s="197"/>
      <c r="W75" s="193" t="str">
        <f>IF(C75=0,"",ROUNDUP(SUM(V77:V81)*(1+L75),0))</f>
        <v/>
      </c>
      <c r="X75" s="263"/>
      <c r="Z75" s="187"/>
      <c r="AA75" s="187"/>
    </row>
    <row r="76" spans="1:27" s="186" customFormat="1" ht="15" customHeight="1" thickBot="1">
      <c r="A76" s="215"/>
      <c r="B76" s="194"/>
      <c r="C76" s="200"/>
      <c r="D76" s="195"/>
      <c r="E76" s="195"/>
      <c r="F76" s="195"/>
      <c r="G76" s="195"/>
      <c r="H76" s="195"/>
      <c r="I76" s="195"/>
      <c r="J76" s="196"/>
      <c r="K76" s="196"/>
      <c r="L76" s="144"/>
      <c r="M76" s="195"/>
      <c r="N76" s="195"/>
      <c r="O76" s="195"/>
      <c r="P76" s="195"/>
      <c r="Q76" s="195"/>
      <c r="R76" s="195"/>
      <c r="S76" s="195"/>
      <c r="T76" s="195"/>
      <c r="U76" s="195"/>
      <c r="V76" s="197"/>
      <c r="W76" s="185"/>
      <c r="X76" s="263"/>
      <c r="Z76" s="187"/>
      <c r="AA76" s="187"/>
    </row>
    <row r="77" spans="1:27" s="186" customFormat="1" ht="15" customHeight="1" thickBot="1">
      <c r="A77" s="278"/>
      <c r="B77" s="168"/>
      <c r="C77" s="200"/>
      <c r="D77" s="195"/>
      <c r="E77" s="195"/>
      <c r="F77" s="195"/>
      <c r="G77" s="195"/>
      <c r="H77" s="195"/>
      <c r="I77" s="195"/>
      <c r="J77" s="196"/>
      <c r="K77" s="196"/>
      <c r="L77" s="144"/>
      <c r="M77" s="195"/>
      <c r="N77" s="195"/>
      <c r="O77" s="195"/>
      <c r="P77" s="195"/>
      <c r="Q77" s="195"/>
      <c r="R77" s="195"/>
      <c r="S77" s="195"/>
      <c r="T77" s="195"/>
      <c r="U77" s="195"/>
      <c r="V77" s="197"/>
      <c r="W77" s="185"/>
      <c r="X77" s="141" t="s">
        <v>524</v>
      </c>
      <c r="Z77" s="187"/>
      <c r="AA77" s="187"/>
    </row>
    <row r="78" spans="1:27" s="186" customFormat="1" ht="15" customHeight="1" thickBot="1">
      <c r="A78" s="214"/>
      <c r="B78" s="331"/>
      <c r="C78" s="224"/>
      <c r="D78" s="201"/>
      <c r="E78" s="201"/>
      <c r="F78" s="201"/>
      <c r="G78" s="201"/>
      <c r="H78" s="201"/>
      <c r="I78" s="201"/>
      <c r="J78" s="234"/>
      <c r="K78" s="234"/>
      <c r="L78" s="162"/>
      <c r="M78" s="201"/>
      <c r="N78" s="163"/>
      <c r="O78" s="163"/>
      <c r="P78" s="257"/>
      <c r="Q78" s="163"/>
      <c r="R78" s="201"/>
      <c r="S78" s="257"/>
      <c r="T78" s="227" t="str">
        <f>IF(P78="","-",ROUNDUP(S78/P78/P78,0))</f>
        <v>-</v>
      </c>
      <c r="U78" s="257"/>
      <c r="V78" s="228" t="str">
        <f>IF(T78="-","-",ROUNDUP(T78*U78,0))</f>
        <v>-</v>
      </c>
      <c r="W78" s="229"/>
      <c r="X78" s="230"/>
      <c r="Z78" s="187"/>
      <c r="AA78" s="187"/>
    </row>
    <row r="79" spans="1:27" s="186" customFormat="1" ht="15" customHeight="1" thickBot="1">
      <c r="A79" s="215"/>
      <c r="B79" s="331"/>
      <c r="C79" s="224"/>
      <c r="D79" s="201"/>
      <c r="E79" s="201"/>
      <c r="F79" s="201"/>
      <c r="G79" s="201"/>
      <c r="H79" s="201"/>
      <c r="I79" s="201"/>
      <c r="J79" s="234"/>
      <c r="K79" s="234"/>
      <c r="L79" s="162"/>
      <c r="M79" s="201" t="str">
        <f>IF(Q79="","",ROUND(Q79/P79,0))</f>
        <v/>
      </c>
      <c r="N79" s="257"/>
      <c r="O79" s="257"/>
      <c r="P79" s="160"/>
      <c r="Q79" s="160"/>
      <c r="R79" s="257">
        <v>360</v>
      </c>
      <c r="S79" s="201"/>
      <c r="T79" s="227" t="e">
        <f>ROUNDUP(N79*PI()/O79/360*R79,)</f>
        <v>#DIV/0!</v>
      </c>
      <c r="U79" s="257"/>
      <c r="V79" s="228" t="str">
        <f>IFERROR(IF(T79="-","-",ROUNDUP(T79*U79,0)),"-")</f>
        <v>-</v>
      </c>
      <c r="W79" s="229"/>
      <c r="X79" s="230"/>
      <c r="Z79" s="187"/>
      <c r="AA79" s="187"/>
    </row>
    <row r="80" spans="1:27" s="186" customFormat="1" ht="15" customHeight="1" thickBot="1">
      <c r="A80" s="214"/>
      <c r="B80" s="331"/>
      <c r="C80" s="224"/>
      <c r="D80" s="201"/>
      <c r="E80" s="201"/>
      <c r="F80" s="201"/>
      <c r="G80" s="201"/>
      <c r="H80" s="201"/>
      <c r="I80" s="201"/>
      <c r="J80" s="234"/>
      <c r="K80" s="234"/>
      <c r="L80" s="162"/>
      <c r="M80" s="201" t="str">
        <f>IF(Q80="","",ROUND(Q80/P80,0))</f>
        <v/>
      </c>
      <c r="N80" s="257"/>
      <c r="O80" s="257"/>
      <c r="P80" s="257"/>
      <c r="Q80" s="257"/>
      <c r="R80" s="257">
        <v>360</v>
      </c>
      <c r="S80" s="201"/>
      <c r="T80" s="227" t="str">
        <f>IF(P80="","-",(ROUND(PI()*N80/O80*R80/360,0))*(ROUND(Q80/P80,0)))</f>
        <v>-</v>
      </c>
      <c r="U80" s="257"/>
      <c r="V80" s="228" t="str">
        <f>IF(T80="-","-",ROUNDUP(T80*U80,0))</f>
        <v>-</v>
      </c>
      <c r="W80" s="229"/>
      <c r="X80" s="230"/>
      <c r="Z80" s="187"/>
      <c r="AA80" s="187"/>
    </row>
    <row r="81" spans="1:27" s="186" customFormat="1" ht="15" customHeight="1">
      <c r="A81" s="214"/>
      <c r="B81" s="167"/>
      <c r="C81" s="200"/>
      <c r="D81" s="195"/>
      <c r="E81" s="195"/>
      <c r="F81" s="195"/>
      <c r="G81" s="195"/>
      <c r="H81" s="195"/>
      <c r="I81" s="195"/>
      <c r="J81" s="196"/>
      <c r="K81" s="196"/>
      <c r="L81" s="144"/>
      <c r="M81" s="195"/>
      <c r="N81" s="195"/>
      <c r="O81" s="151"/>
      <c r="P81" s="157"/>
      <c r="Q81" s="151"/>
      <c r="R81" s="195"/>
      <c r="S81" s="195"/>
      <c r="T81" s="195"/>
      <c r="U81" s="195"/>
      <c r="V81" s="197"/>
      <c r="W81" s="185"/>
      <c r="X81" s="141"/>
      <c r="Z81" s="187"/>
      <c r="AA81" s="187"/>
    </row>
    <row r="82" spans="1:27" s="186" customFormat="1" ht="15" customHeight="1" thickBot="1">
      <c r="A82" s="214"/>
      <c r="B82" s="167"/>
      <c r="C82" s="200"/>
      <c r="D82" s="195"/>
      <c r="E82" s="195"/>
      <c r="F82" s="195"/>
      <c r="G82" s="195"/>
      <c r="H82" s="195"/>
      <c r="I82" s="195"/>
      <c r="J82" s="196"/>
      <c r="K82" s="196"/>
      <c r="L82" s="144"/>
      <c r="M82" s="195"/>
      <c r="N82" s="195"/>
      <c r="O82" s="151"/>
      <c r="P82" s="157"/>
      <c r="Q82" s="151"/>
      <c r="R82" s="195"/>
      <c r="S82" s="195"/>
      <c r="T82" s="195"/>
      <c r="U82" s="195"/>
      <c r="V82" s="197"/>
      <c r="W82" s="185"/>
      <c r="X82" s="141"/>
      <c r="Z82" s="187"/>
      <c r="AA82" s="187"/>
    </row>
    <row r="83" spans="1:27" s="186" customFormat="1" ht="15" customHeight="1" thickBot="1">
      <c r="A83" s="215"/>
      <c r="B83" s="194"/>
      <c r="C83" s="133">
        <f>SUMIF(Densidades!A:A,'Memória TOTAL'!X83,Densidades!B:B)</f>
        <v>0</v>
      </c>
      <c r="D83" s="134">
        <f>SUMIF(Densidades!A:A,'Memória TOTAL'!X83,Densidades!C:C)</f>
        <v>0</v>
      </c>
      <c r="E83" s="134"/>
      <c r="F83" s="134"/>
      <c r="G83" s="134"/>
      <c r="H83" s="134"/>
      <c r="I83" s="134"/>
      <c r="J83" s="136">
        <f>SUMIF(Formatos!A:A,'Memória TOTAL'!X84,Formatos!G:G)</f>
        <v>0</v>
      </c>
      <c r="K83" s="222">
        <f>SUMIF(Densidades!A:A,'Memória TOTAL'!X83,Densidades!I:I)</f>
        <v>0</v>
      </c>
      <c r="L83" s="144"/>
      <c r="M83" s="195"/>
      <c r="N83" s="195"/>
      <c r="O83" s="195"/>
      <c r="P83" s="195"/>
      <c r="Q83" s="195"/>
      <c r="R83" s="195"/>
      <c r="S83" s="195"/>
      <c r="T83" s="195"/>
      <c r="U83" s="195"/>
      <c r="V83" s="233"/>
      <c r="W83" s="193" t="str">
        <f>W75</f>
        <v/>
      </c>
      <c r="X83" s="263"/>
      <c r="Z83" s="187"/>
      <c r="AA83" s="187"/>
    </row>
    <row r="84" spans="1:27" s="186" customFormat="1" ht="15" customHeight="1" thickBot="1">
      <c r="A84" s="215"/>
      <c r="B84" s="194"/>
      <c r="C84" s="200"/>
      <c r="D84" s="195"/>
      <c r="E84" s="195"/>
      <c r="F84" s="195"/>
      <c r="G84" s="195"/>
      <c r="H84" s="195"/>
      <c r="I84" s="195"/>
      <c r="J84" s="196"/>
      <c r="K84" s="196"/>
      <c r="L84" s="144"/>
      <c r="M84" s="195"/>
      <c r="N84" s="195"/>
      <c r="O84" s="195"/>
      <c r="P84" s="195"/>
      <c r="Q84" s="195"/>
      <c r="R84" s="195"/>
      <c r="S84" s="195"/>
      <c r="T84" s="195"/>
      <c r="U84" s="195"/>
      <c r="V84" s="197"/>
      <c r="W84" s="185"/>
      <c r="X84" s="263"/>
      <c r="Z84" s="187"/>
      <c r="AA84" s="187"/>
    </row>
    <row r="85" spans="1:27" s="186" customFormat="1" ht="15" customHeight="1">
      <c r="A85" s="278"/>
      <c r="B85" s="194"/>
      <c r="C85" s="200"/>
      <c r="D85" s="195"/>
      <c r="E85" s="195"/>
      <c r="F85" s="195"/>
      <c r="G85" s="195"/>
      <c r="H85" s="195"/>
      <c r="I85" s="195"/>
      <c r="J85" s="196"/>
      <c r="K85" s="196"/>
      <c r="L85" s="144"/>
      <c r="M85" s="195"/>
      <c r="N85" s="195"/>
      <c r="O85" s="195"/>
      <c r="P85" s="195"/>
      <c r="Q85" s="195"/>
      <c r="R85" s="195"/>
      <c r="S85" s="195"/>
      <c r="T85" s="195"/>
      <c r="U85" s="195"/>
      <c r="V85" s="197"/>
      <c r="W85" s="185"/>
      <c r="X85" s="141" t="s">
        <v>524</v>
      </c>
      <c r="Z85" s="187"/>
      <c r="AA85" s="187"/>
    </row>
    <row r="86" spans="1:27" s="186" customFormat="1" ht="15" customHeight="1" thickBot="1">
      <c r="A86" s="214"/>
      <c r="B86" s="194"/>
      <c r="C86" s="200"/>
      <c r="D86" s="195"/>
      <c r="E86" s="195"/>
      <c r="F86" s="195"/>
      <c r="G86" s="195"/>
      <c r="H86" s="195"/>
      <c r="I86" s="195"/>
      <c r="J86" s="196"/>
      <c r="K86" s="196"/>
      <c r="L86" s="144"/>
      <c r="M86" s="195"/>
      <c r="N86" s="195"/>
      <c r="O86" s="195"/>
      <c r="P86" s="195"/>
      <c r="Q86" s="195"/>
      <c r="R86" s="195"/>
      <c r="S86" s="195"/>
      <c r="T86" s="195"/>
      <c r="U86" s="195"/>
      <c r="V86" s="197"/>
      <c r="W86" s="185"/>
      <c r="X86" s="141"/>
      <c r="Z86" s="187"/>
      <c r="AA86" s="187"/>
    </row>
    <row r="87" spans="1:27" s="186" customFormat="1" ht="15" customHeight="1" thickBot="1">
      <c r="A87" s="214"/>
      <c r="B87" s="194"/>
      <c r="C87" s="133">
        <f>SUMIF(Densidades!A:A,'Memória TOTAL'!X87,Densidades!B:B)</f>
        <v>0</v>
      </c>
      <c r="D87" s="134">
        <f>SUMIF(Densidades!A:A,'Memória TOTAL'!X87,Densidades!C:C)</f>
        <v>0</v>
      </c>
      <c r="E87" s="134"/>
      <c r="F87" s="134"/>
      <c r="G87" s="134"/>
      <c r="H87" s="134"/>
      <c r="I87" s="134"/>
      <c r="J87" s="136">
        <f>SUMIF(Formatos!A:A,'Memória TOTAL'!X88,Formatos!G:G)</f>
        <v>0</v>
      </c>
      <c r="K87" s="222">
        <f>SUMIF(Densidades!A:A,'Memória TOTAL'!X87,Densidades!I:I)</f>
        <v>0</v>
      </c>
      <c r="L87" s="144"/>
      <c r="M87" s="195"/>
      <c r="N87" s="195"/>
      <c r="O87" s="195"/>
      <c r="P87" s="195"/>
      <c r="Q87" s="195"/>
      <c r="R87" s="195"/>
      <c r="S87" s="195"/>
      <c r="T87" s="195"/>
      <c r="U87" s="195"/>
      <c r="V87" s="233"/>
      <c r="W87" s="193" t="str">
        <f>W83</f>
        <v/>
      </c>
      <c r="X87" s="263"/>
      <c r="Z87" s="187"/>
      <c r="AA87" s="187"/>
    </row>
    <row r="88" spans="1:27" s="186" customFormat="1" ht="15" customHeight="1" thickBot="1">
      <c r="A88" s="214"/>
      <c r="B88" s="194"/>
      <c r="C88" s="200"/>
      <c r="D88" s="195"/>
      <c r="E88" s="195"/>
      <c r="F88" s="195"/>
      <c r="G88" s="195"/>
      <c r="H88" s="195"/>
      <c r="I88" s="195"/>
      <c r="J88" s="196"/>
      <c r="K88" s="196"/>
      <c r="L88" s="144"/>
      <c r="M88" s="195"/>
      <c r="N88" s="195"/>
      <c r="O88" s="195"/>
      <c r="P88" s="195"/>
      <c r="Q88" s="195"/>
      <c r="R88" s="195"/>
      <c r="S88" s="195"/>
      <c r="T88" s="195"/>
      <c r="U88" s="195"/>
      <c r="V88" s="197"/>
      <c r="W88" s="185"/>
      <c r="X88" s="263"/>
      <c r="Z88" s="187"/>
      <c r="AA88" s="187"/>
    </row>
    <row r="89" spans="1:27" s="186" customFormat="1" ht="15" customHeight="1">
      <c r="A89" s="214"/>
      <c r="B89" s="194"/>
      <c r="C89" s="200"/>
      <c r="D89" s="195"/>
      <c r="E89" s="195"/>
      <c r="F89" s="195"/>
      <c r="G89" s="195"/>
      <c r="H89" s="195"/>
      <c r="I89" s="195"/>
      <c r="J89" s="196"/>
      <c r="K89" s="196"/>
      <c r="L89" s="144"/>
      <c r="M89" s="195"/>
      <c r="N89" s="195"/>
      <c r="O89" s="195"/>
      <c r="P89" s="195"/>
      <c r="Q89" s="195"/>
      <c r="R89" s="195"/>
      <c r="S89" s="195"/>
      <c r="T89" s="195"/>
      <c r="U89" s="195"/>
      <c r="V89" s="197"/>
      <c r="W89" s="185"/>
      <c r="X89" s="141" t="s">
        <v>524</v>
      </c>
      <c r="Z89" s="187"/>
      <c r="AA89" s="187"/>
    </row>
    <row r="90" spans="1:27" s="186" customFormat="1" ht="15" customHeight="1">
      <c r="A90" s="215"/>
      <c r="B90" s="194"/>
      <c r="C90" s="200"/>
      <c r="D90" s="195"/>
      <c r="E90" s="195"/>
      <c r="F90" s="195"/>
      <c r="G90" s="195"/>
      <c r="H90" s="195"/>
      <c r="I90" s="195"/>
      <c r="J90" s="196"/>
      <c r="K90" s="196"/>
      <c r="L90" s="144"/>
      <c r="M90" s="195"/>
      <c r="N90" s="195"/>
      <c r="O90" s="195"/>
      <c r="P90" s="195"/>
      <c r="Q90" s="195"/>
      <c r="R90" s="195"/>
      <c r="S90" s="195"/>
      <c r="T90" s="195"/>
      <c r="U90" s="195"/>
      <c r="V90" s="197"/>
      <c r="W90" s="185"/>
      <c r="X90" s="141"/>
      <c r="Z90" s="187"/>
      <c r="AA90" s="187"/>
    </row>
    <row r="91" spans="1:27" s="186" customFormat="1" ht="15" customHeight="1" thickBot="1">
      <c r="A91" s="215"/>
      <c r="B91" s="194"/>
      <c r="C91" s="200"/>
      <c r="D91" s="195"/>
      <c r="E91" s="195"/>
      <c r="F91" s="195"/>
      <c r="G91" s="195"/>
      <c r="H91" s="195"/>
      <c r="I91" s="195"/>
      <c r="J91" s="196"/>
      <c r="K91" s="196"/>
      <c r="L91" s="144"/>
      <c r="M91" s="195"/>
      <c r="N91" s="195"/>
      <c r="O91" s="195"/>
      <c r="P91" s="195"/>
      <c r="Q91" s="195"/>
      <c r="R91" s="195"/>
      <c r="S91" s="195"/>
      <c r="T91" s="195"/>
      <c r="U91" s="195"/>
      <c r="V91" s="197"/>
      <c r="W91" s="185"/>
      <c r="X91" s="141"/>
      <c r="Z91" s="187"/>
      <c r="AA91" s="187"/>
    </row>
    <row r="92" spans="1:27" s="186" customFormat="1" ht="15" customHeight="1" thickBot="1">
      <c r="A92" s="278"/>
      <c r="B92" s="194"/>
      <c r="C92" s="133">
        <f>SUMIF(Densidades!A:A,'Memória TOTAL'!X92,Densidades!B:B)</f>
        <v>0.128</v>
      </c>
      <c r="D92" s="134">
        <f>SUMIF(Densidades!A:A,'Memória TOTAL'!X92,Densidades!C:C)</f>
        <v>1</v>
      </c>
      <c r="E92" s="135">
        <f>SUMIF(Formatos!A:A,'Memória TOTAL'!X93,Formatos!E:E)</f>
        <v>6</v>
      </c>
      <c r="F92" s="135">
        <f>SUMIF(Formatos!A:A,'Memória TOTAL'!X93,Formatos!F:F)</f>
        <v>6</v>
      </c>
      <c r="G92" s="135">
        <f>SUMIF(Formatos!A:A,'Memória TOTAL'!X93,Formatos!C:C)</f>
        <v>5500</v>
      </c>
      <c r="H92" s="135">
        <f>SUMIF(Formatos!A:A,'Memória TOTAL'!X93,Formatos!D:D)</f>
        <v>610</v>
      </c>
      <c r="I92" s="134"/>
      <c r="J92" s="136">
        <f>SUMIF(Formatos!A:A,'Memória TOTAL'!X93,Formatos!G:G)</f>
        <v>20.13</v>
      </c>
      <c r="K92" s="222">
        <f>SUMIF(Densidades!A:A,'Memória TOTAL'!X92,Densidades!I:I)</f>
        <v>4</v>
      </c>
      <c r="L92" s="223">
        <v>0</v>
      </c>
      <c r="M92" s="195"/>
      <c r="N92" s="195"/>
      <c r="O92" s="195"/>
      <c r="P92" s="184" t="s">
        <v>2194</v>
      </c>
      <c r="Q92" s="184" t="s">
        <v>2197</v>
      </c>
      <c r="R92" s="184" t="s">
        <v>2196</v>
      </c>
      <c r="S92" s="184" t="s">
        <v>40</v>
      </c>
      <c r="T92" s="184" t="s">
        <v>26</v>
      </c>
      <c r="U92" s="184" t="s">
        <v>38</v>
      </c>
      <c r="V92" s="184" t="s">
        <v>27</v>
      </c>
      <c r="W92" s="193">
        <f>IF(C92=0,"",ROUNDUP(SUM(V93:V93)*(1+L92),2))</f>
        <v>0</v>
      </c>
      <c r="X92" s="263" t="s">
        <v>1807</v>
      </c>
      <c r="Z92" s="187"/>
      <c r="AA92" s="187"/>
    </row>
    <row r="93" spans="1:27" s="186" customFormat="1" ht="15" customHeight="1" thickBot="1">
      <c r="A93" s="214"/>
      <c r="B93" s="194"/>
      <c r="C93" s="200"/>
      <c r="D93" s="195"/>
      <c r="E93" s="195"/>
      <c r="F93" s="195"/>
      <c r="G93" s="195"/>
      <c r="H93" s="195"/>
      <c r="I93" s="195"/>
      <c r="J93" s="196"/>
      <c r="K93" s="196"/>
      <c r="L93" s="144"/>
      <c r="M93" s="195"/>
      <c r="N93" s="195"/>
      <c r="O93" s="195"/>
      <c r="P93" s="257"/>
      <c r="Q93" s="227">
        <f>130*4</f>
        <v>520</v>
      </c>
      <c r="R93" s="257"/>
      <c r="S93" s="227">
        <f>Q93*R93</f>
        <v>0</v>
      </c>
      <c r="T93" s="227">
        <f>ROUNDUP(S93/10^6*(1+L92),2)</f>
        <v>0</v>
      </c>
      <c r="U93" s="226" t="str">
        <f>W75</f>
        <v/>
      </c>
      <c r="V93" s="228" t="str">
        <f>IF(U93="","-",IF(COUNTIF(E92:H92,P93)&lt;1,"Esp. Errada",ROUNDUP((S93*U93)/(IF(P93=E92,1,E92)*IF(P93=G92,1,G92)*IF(P93=H92,1,H92)),0)))</f>
        <v>-</v>
      </c>
      <c r="W93" s="185"/>
      <c r="X93" s="263" t="s">
        <v>2195</v>
      </c>
      <c r="Z93" s="187"/>
      <c r="AA93" s="187"/>
    </row>
    <row r="94" spans="1:27" s="186" customFormat="1" ht="15" customHeight="1">
      <c r="A94" s="214"/>
      <c r="B94" s="194"/>
      <c r="C94" s="200"/>
      <c r="D94" s="195"/>
      <c r="E94" s="195"/>
      <c r="F94" s="195"/>
      <c r="G94" s="195"/>
      <c r="H94" s="195"/>
      <c r="I94" s="195"/>
      <c r="J94" s="196"/>
      <c r="K94" s="196"/>
      <c r="L94" s="144"/>
      <c r="M94" s="195"/>
      <c r="N94" s="195"/>
      <c r="O94" s="195"/>
      <c r="P94" s="195"/>
      <c r="Q94" s="195"/>
      <c r="R94" s="195"/>
      <c r="S94" s="195"/>
      <c r="T94" s="195"/>
      <c r="U94" s="195"/>
      <c r="V94" s="197"/>
      <c r="W94" s="185"/>
      <c r="X94" s="141" t="s">
        <v>524</v>
      </c>
      <c r="Z94" s="187"/>
      <c r="AA94" s="187"/>
    </row>
    <row r="95" spans="1:27" s="186" customFormat="1" ht="15" customHeight="1">
      <c r="A95" s="214"/>
      <c r="B95" s="194"/>
      <c r="C95" s="200"/>
      <c r="D95" s="195"/>
      <c r="E95" s="195"/>
      <c r="F95" s="195"/>
      <c r="G95" s="195"/>
      <c r="H95" s="195"/>
      <c r="I95" s="195"/>
      <c r="J95" s="196"/>
      <c r="K95" s="196"/>
      <c r="L95" s="144"/>
      <c r="M95" s="195"/>
      <c r="N95" s="195"/>
      <c r="O95" s="195"/>
      <c r="P95" s="195"/>
      <c r="Q95" s="195"/>
      <c r="R95" s="195"/>
      <c r="S95" s="195"/>
      <c r="T95" s="195"/>
      <c r="U95" s="195"/>
      <c r="V95" s="197"/>
      <c r="W95" s="185"/>
      <c r="X95" s="141"/>
      <c r="Z95" s="187"/>
      <c r="AA95" s="187"/>
    </row>
    <row r="96" spans="1:27" s="155" customFormat="1" ht="15" customHeight="1" thickBot="1">
      <c r="A96" s="214"/>
      <c r="B96" s="509"/>
      <c r="C96" s="509"/>
      <c r="D96" s="512"/>
      <c r="E96" s="512"/>
      <c r="F96" s="512"/>
      <c r="G96" s="512"/>
      <c r="H96" s="512"/>
      <c r="I96" s="512"/>
      <c r="J96" s="512"/>
      <c r="K96" s="512"/>
      <c r="L96" s="512"/>
      <c r="M96" s="512"/>
      <c r="N96" s="512"/>
      <c r="O96" s="512"/>
      <c r="P96" s="512"/>
      <c r="Q96" s="512"/>
      <c r="R96" s="512"/>
      <c r="S96" s="512"/>
      <c r="T96" s="512"/>
      <c r="U96" s="512"/>
      <c r="V96" s="512"/>
      <c r="W96" s="512"/>
      <c r="X96" s="513"/>
      <c r="Z96" s="156"/>
      <c r="AA96" s="156"/>
    </row>
    <row r="97" spans="1:27" s="186" customFormat="1" ht="15" customHeight="1" thickBot="1">
      <c r="A97" s="278"/>
      <c r="B97" s="272" t="str">
        <f>IF(X98="","ELETRODO ÂNCORA",X98)</f>
        <v>SPECIAL ELECTRODE ST</v>
      </c>
      <c r="C97" s="219" t="s">
        <v>101</v>
      </c>
      <c r="D97" s="184" t="s">
        <v>102</v>
      </c>
      <c r="E97" s="184"/>
      <c r="F97" s="184"/>
      <c r="G97" s="184"/>
      <c r="H97" s="184"/>
      <c r="I97" s="184"/>
      <c r="J97" s="184" t="s">
        <v>103</v>
      </c>
      <c r="K97" s="184" t="s">
        <v>37</v>
      </c>
      <c r="L97" s="184" t="s">
        <v>39</v>
      </c>
      <c r="M97" s="184"/>
      <c r="N97" s="184"/>
      <c r="O97" s="184"/>
      <c r="P97" s="184"/>
      <c r="Q97" s="184"/>
      <c r="R97" s="184"/>
      <c r="S97" s="184"/>
      <c r="T97" s="184"/>
      <c r="U97" s="184" t="s">
        <v>38</v>
      </c>
      <c r="V97" s="184" t="s">
        <v>27</v>
      </c>
      <c r="W97" s="220"/>
      <c r="X97" s="221"/>
      <c r="Z97" s="187"/>
      <c r="AA97" s="187"/>
    </row>
    <row r="98" spans="1:27" s="186" customFormat="1" ht="15" customHeight="1" thickBot="1">
      <c r="A98" s="214"/>
      <c r="B98" s="194"/>
      <c r="C98" s="133">
        <f>SUMIF(Densidades!A:A,'Memória TOTAL'!X98,Densidades!B:B)</f>
        <v>1</v>
      </c>
      <c r="D98" s="134">
        <f>SUMIF(Densidades!A:A,'Memória TOTAL'!X98,Densidades!C:C)</f>
        <v>140</v>
      </c>
      <c r="E98" s="134"/>
      <c r="F98" s="134"/>
      <c r="G98" s="134"/>
      <c r="H98" s="134"/>
      <c r="I98" s="134"/>
      <c r="J98" s="136">
        <f>SUMIF(Formatos!A:A,'Memória TOTAL'!X99,Formatos!G:G)</f>
        <v>0</v>
      </c>
      <c r="K98" s="222">
        <f>SUMIF(Densidades!A:A,'Memória TOTAL'!X98,Densidades!I:I)</f>
        <v>9</v>
      </c>
      <c r="L98" s="223">
        <v>0</v>
      </c>
      <c r="M98" s="195"/>
      <c r="N98" s="195"/>
      <c r="O98" s="195"/>
      <c r="P98" s="195"/>
      <c r="Q98" s="195"/>
      <c r="R98" s="195"/>
      <c r="S98" s="195"/>
      <c r="T98" s="195"/>
      <c r="U98" s="195"/>
      <c r="V98" s="197"/>
      <c r="W98" s="193">
        <f>IF(C98=0,"",ROUNDUP(SUM(V101:V103)*(1+L98),0))</f>
        <v>0</v>
      </c>
      <c r="X98" s="263" t="s">
        <v>1084</v>
      </c>
      <c r="Z98" s="187"/>
      <c r="AA98" s="187"/>
    </row>
    <row r="99" spans="1:27" s="186" customFormat="1" ht="15" customHeight="1" thickBot="1">
      <c r="A99" s="214"/>
      <c r="B99" s="194"/>
      <c r="C99" s="200"/>
      <c r="D99" s="195"/>
      <c r="E99" s="195"/>
      <c r="F99" s="195"/>
      <c r="G99" s="195"/>
      <c r="H99" s="195"/>
      <c r="I99" s="195"/>
      <c r="J99" s="196"/>
      <c r="K99" s="196"/>
      <c r="L99" s="144"/>
      <c r="M99" s="195"/>
      <c r="N99" s="195"/>
      <c r="O99" s="195"/>
      <c r="P99" s="195"/>
      <c r="Q99" s="195"/>
      <c r="R99" s="195"/>
      <c r="S99" s="195"/>
      <c r="T99" s="195"/>
      <c r="U99" s="195"/>
      <c r="V99" s="197"/>
      <c r="W99" s="185"/>
      <c r="X99" s="263" t="s">
        <v>1079</v>
      </c>
      <c r="Z99" s="187"/>
      <c r="AA99" s="187"/>
    </row>
    <row r="100" spans="1:27" s="186" customFormat="1" ht="15" customHeight="1" thickBot="1">
      <c r="A100" s="214"/>
      <c r="B100" s="168"/>
      <c r="C100" s="200"/>
      <c r="D100" s="195"/>
      <c r="E100" s="195"/>
      <c r="F100" s="195"/>
      <c r="G100" s="195"/>
      <c r="H100" s="195"/>
      <c r="I100" s="195"/>
      <c r="J100" s="196"/>
      <c r="K100" s="196"/>
      <c r="L100" s="144"/>
      <c r="M100" s="195"/>
      <c r="N100" s="195"/>
      <c r="O100" s="195"/>
      <c r="P100" s="195"/>
      <c r="Q100" s="195"/>
      <c r="R100" s="195"/>
      <c r="S100" s="195"/>
      <c r="T100" s="195"/>
      <c r="U100" s="195"/>
      <c r="V100" s="197"/>
      <c r="W100" s="185"/>
      <c r="X100" s="141" t="s">
        <v>524</v>
      </c>
      <c r="Z100" s="187"/>
      <c r="AA100" s="187"/>
    </row>
    <row r="101" spans="1:27" s="186" customFormat="1" ht="15" customHeight="1" thickBot="1">
      <c r="A101" s="214"/>
      <c r="B101" s="158" t="s">
        <v>1081</v>
      </c>
      <c r="C101" s="224"/>
      <c r="D101" s="201"/>
      <c r="E101" s="201"/>
      <c r="F101" s="201"/>
      <c r="G101" s="201"/>
      <c r="H101" s="201"/>
      <c r="I101" s="201"/>
      <c r="J101" s="234"/>
      <c r="K101" s="234"/>
      <c r="L101" s="162"/>
      <c r="M101" s="201"/>
      <c r="N101" s="163"/>
      <c r="O101" s="201"/>
      <c r="P101" s="201"/>
      <c r="Q101" s="201"/>
      <c r="R101" s="201"/>
      <c r="S101" s="201"/>
      <c r="T101" s="227"/>
      <c r="U101" s="257"/>
      <c r="V101" s="337">
        <f>U101/2/D98</f>
        <v>0</v>
      </c>
      <c r="W101" s="229"/>
      <c r="X101" s="230"/>
      <c r="Z101" s="187"/>
      <c r="AA101" s="187"/>
    </row>
    <row r="102" spans="1:27" s="186" customFormat="1" ht="15" customHeight="1" thickBot="1">
      <c r="A102" s="215"/>
      <c r="B102" s="158" t="s">
        <v>1096</v>
      </c>
      <c r="C102" s="224"/>
      <c r="D102" s="201"/>
      <c r="E102" s="201"/>
      <c r="F102" s="201"/>
      <c r="G102" s="201"/>
      <c r="H102" s="201"/>
      <c r="I102" s="201"/>
      <c r="J102" s="234"/>
      <c r="K102" s="234"/>
      <c r="L102" s="162"/>
      <c r="M102" s="201" t="str">
        <f>IF(Q102="","",ROUND(Q102/P102,0))</f>
        <v/>
      </c>
      <c r="N102" s="163"/>
      <c r="O102" s="201"/>
      <c r="P102" s="201"/>
      <c r="Q102" s="201"/>
      <c r="R102" s="201"/>
      <c r="S102" s="201"/>
      <c r="T102" s="227"/>
      <c r="U102" s="257"/>
      <c r="V102" s="337">
        <f>U102/D98</f>
        <v>0</v>
      </c>
      <c r="W102" s="229"/>
      <c r="X102" s="230"/>
      <c r="Z102" s="187"/>
      <c r="AA102" s="187"/>
    </row>
    <row r="103" spans="1:27" s="186" customFormat="1" ht="15" customHeight="1">
      <c r="A103" s="215"/>
      <c r="B103" s="167"/>
      <c r="C103" s="200"/>
      <c r="D103" s="195"/>
      <c r="E103" s="195"/>
      <c r="F103" s="195"/>
      <c r="G103" s="195"/>
      <c r="H103" s="195"/>
      <c r="I103" s="195"/>
      <c r="J103" s="196"/>
      <c r="K103" s="196"/>
      <c r="L103" s="144"/>
      <c r="M103" s="195"/>
      <c r="N103" s="195"/>
      <c r="O103" s="151"/>
      <c r="P103" s="157"/>
      <c r="Q103" s="151"/>
      <c r="R103" s="195"/>
      <c r="S103" s="195"/>
      <c r="T103" s="195"/>
      <c r="U103" s="195"/>
      <c r="V103" s="197"/>
      <c r="W103" s="185"/>
      <c r="X103" s="141"/>
      <c r="Z103" s="187"/>
      <c r="AA103" s="187"/>
    </row>
    <row r="104" spans="1:27" s="186" customFormat="1" ht="15" customHeight="1" thickBot="1">
      <c r="A104" s="214"/>
      <c r="B104" s="509"/>
      <c r="C104" s="509"/>
      <c r="D104" s="512"/>
      <c r="E104" s="512"/>
      <c r="F104" s="512"/>
      <c r="G104" s="512"/>
      <c r="H104" s="512"/>
      <c r="I104" s="512"/>
      <c r="J104" s="512"/>
      <c r="K104" s="512"/>
      <c r="L104" s="512"/>
      <c r="M104" s="512"/>
      <c r="N104" s="512"/>
      <c r="O104" s="512"/>
      <c r="P104" s="512"/>
      <c r="Q104" s="512"/>
      <c r="R104" s="512"/>
      <c r="S104" s="512"/>
      <c r="T104" s="512"/>
      <c r="U104" s="512"/>
      <c r="V104" s="512"/>
      <c r="W104" s="512"/>
      <c r="X104" s="513"/>
      <c r="Z104" s="187"/>
      <c r="AA104" s="187"/>
    </row>
    <row r="105" spans="1:27" ht="15" customHeight="1" thickBot="1">
      <c r="A105" s="215"/>
      <c r="B105" s="272" t="str">
        <f>IF(X106="","TIJOLO PARALELO",X106)</f>
        <v>TIJOLO PARALELO</v>
      </c>
      <c r="C105" s="273" t="s">
        <v>101</v>
      </c>
      <c r="D105" s="274" t="s">
        <v>102</v>
      </c>
      <c r="E105" s="274" t="s">
        <v>42</v>
      </c>
      <c r="F105" s="274" t="s">
        <v>42</v>
      </c>
      <c r="G105" s="274" t="s">
        <v>43</v>
      </c>
      <c r="H105" s="274" t="s">
        <v>44</v>
      </c>
      <c r="I105" s="274" t="s">
        <v>47</v>
      </c>
      <c r="J105" s="274" t="s">
        <v>103</v>
      </c>
      <c r="K105" s="274" t="s">
        <v>37</v>
      </c>
      <c r="L105" s="274" t="s">
        <v>39</v>
      </c>
      <c r="M105" s="274" t="s">
        <v>41</v>
      </c>
      <c r="N105" s="274" t="s">
        <v>46</v>
      </c>
      <c r="O105" s="274" t="s">
        <v>67</v>
      </c>
      <c r="P105" s="274" t="s">
        <v>113</v>
      </c>
      <c r="Q105" s="274"/>
      <c r="R105" s="274"/>
      <c r="S105" s="274" t="s">
        <v>70</v>
      </c>
      <c r="T105" s="274" t="s">
        <v>26</v>
      </c>
      <c r="U105" s="274" t="s">
        <v>38</v>
      </c>
      <c r="V105" s="275" t="s">
        <v>27</v>
      </c>
      <c r="W105" s="276"/>
      <c r="X105" s="277"/>
    </row>
    <row r="106" spans="1:27" ht="15" customHeight="1" thickBot="1">
      <c r="A106" s="215"/>
      <c r="B106" s="210"/>
      <c r="C106" s="133">
        <f>SUMIF(Densidades!A:A,'Memória TOTAL'!X106,Densidades!B:B)</f>
        <v>0</v>
      </c>
      <c r="D106" s="134">
        <f>SUMIF(Densidades!A:A,'Memória TOTAL'!X106,Densidades!C:C)</f>
        <v>0</v>
      </c>
      <c r="E106" s="135">
        <f>SUMIF(Formatos!A:A,'Memória TOTAL'!X107,Formatos!E:E)</f>
        <v>0</v>
      </c>
      <c r="F106" s="135">
        <f>SUMIF(Formatos!A:A,'Memória TOTAL'!X107,Formatos!F:F)</f>
        <v>0</v>
      </c>
      <c r="G106" s="135">
        <f>SUMIF(Formatos!A:A,'Memória TOTAL'!X107,Formatos!C:C)</f>
        <v>0</v>
      </c>
      <c r="H106" s="135">
        <f>SUMIF(Formatos!A:A,'Memória TOTAL'!X107,Formatos!D:D)</f>
        <v>0</v>
      </c>
      <c r="I106" s="135">
        <f>SUMIF(Densidades!A:A,'Memória TOTAL'!X106,Densidades!H:H)</f>
        <v>0</v>
      </c>
      <c r="J106" s="136">
        <f>SUMIF(Formatos!A:A,'Memória TOTAL'!X107,Formatos!G:G)</f>
        <v>0</v>
      </c>
      <c r="K106" s="137">
        <f>SUMIF(Densidades!A:A,'Memória TOTAL'!X106,Densidades!I:I)</f>
        <v>0</v>
      </c>
      <c r="L106" s="138">
        <v>0</v>
      </c>
      <c r="M106" s="139"/>
      <c r="N106" s="257"/>
      <c r="O106" s="139"/>
      <c r="P106" s="139"/>
      <c r="Q106" s="139"/>
      <c r="R106" s="139"/>
      <c r="S106" s="139"/>
      <c r="T106" s="139"/>
      <c r="U106" s="139"/>
      <c r="V106" s="145"/>
      <c r="W106" s="193" t="str">
        <f>IF(C106=0,"",ROUNDUP(SUM(V109:V111)*(1+L106),0))</f>
        <v/>
      </c>
      <c r="X106" s="263"/>
      <c r="Y106" s="186"/>
    </row>
    <row r="107" spans="1:27" ht="15" customHeight="1" thickBot="1">
      <c r="A107" s="214"/>
      <c r="B107" s="211"/>
      <c r="C107" s="142"/>
      <c r="D107" s="139"/>
      <c r="E107" s="135">
        <f t="shared" ref="E107:K107" si="4">E106</f>
        <v>0</v>
      </c>
      <c r="F107" s="135">
        <f t="shared" si="4"/>
        <v>0</v>
      </c>
      <c r="G107" s="135">
        <f t="shared" si="4"/>
        <v>0</v>
      </c>
      <c r="H107" s="135">
        <f t="shared" si="4"/>
        <v>0</v>
      </c>
      <c r="I107" s="135">
        <f t="shared" si="4"/>
        <v>0</v>
      </c>
      <c r="J107" s="135">
        <f t="shared" si="4"/>
        <v>0</v>
      </c>
      <c r="K107" s="137">
        <f t="shared" si="4"/>
        <v>0</v>
      </c>
      <c r="L107" s="144"/>
      <c r="M107" s="139"/>
      <c r="N107" s="135">
        <f>N106</f>
        <v>0</v>
      </c>
      <c r="O107" s="139"/>
      <c r="P107" s="139"/>
      <c r="Q107" s="139"/>
      <c r="R107" s="139"/>
      <c r="S107" s="139"/>
      <c r="T107" s="139"/>
      <c r="U107" s="139"/>
      <c r="V107" s="145"/>
      <c r="W107" s="146"/>
      <c r="X107" s="263"/>
      <c r="Y107" s="186"/>
    </row>
    <row r="108" spans="1:27" ht="15" customHeight="1" thickBot="1">
      <c r="A108" s="214"/>
      <c r="B108" s="212" t="s">
        <v>71</v>
      </c>
      <c r="C108" s="142"/>
      <c r="D108" s="139"/>
      <c r="E108" s="135">
        <f t="shared" ref="E108:K108" si="5">E107</f>
        <v>0</v>
      </c>
      <c r="F108" s="135">
        <f t="shared" si="5"/>
        <v>0</v>
      </c>
      <c r="G108" s="135">
        <f t="shared" si="5"/>
        <v>0</v>
      </c>
      <c r="H108" s="135">
        <f t="shared" si="5"/>
        <v>0</v>
      </c>
      <c r="I108" s="135">
        <f t="shared" si="5"/>
        <v>0</v>
      </c>
      <c r="J108" s="135">
        <f t="shared" si="5"/>
        <v>0</v>
      </c>
      <c r="K108" s="137">
        <f t="shared" si="5"/>
        <v>0</v>
      </c>
      <c r="L108" s="144"/>
      <c r="M108" s="139"/>
      <c r="N108" s="135">
        <f>N107</f>
        <v>0</v>
      </c>
      <c r="O108" s="139"/>
      <c r="P108" s="139"/>
      <c r="Q108" s="139"/>
      <c r="R108" s="139"/>
      <c r="S108" s="139"/>
      <c r="T108" s="139"/>
      <c r="U108" s="195" t="s">
        <v>673</v>
      </c>
      <c r="V108" s="145"/>
      <c r="W108" s="146"/>
      <c r="X108" s="147" t="s">
        <v>524</v>
      </c>
    </row>
    <row r="109" spans="1:27" ht="15" customHeight="1" thickBot="1">
      <c r="A109" s="214"/>
      <c r="B109" s="331"/>
      <c r="C109" s="159"/>
      <c r="D109" s="160"/>
      <c r="E109" s="176">
        <f t="shared" ref="E109:K109" si="6">E108</f>
        <v>0</v>
      </c>
      <c r="F109" s="176">
        <f t="shared" si="6"/>
        <v>0</v>
      </c>
      <c r="G109" s="176">
        <f t="shared" si="6"/>
        <v>0</v>
      </c>
      <c r="H109" s="176">
        <f t="shared" si="6"/>
        <v>0</v>
      </c>
      <c r="I109" s="176">
        <f t="shared" si="6"/>
        <v>0</v>
      </c>
      <c r="J109" s="176">
        <f t="shared" si="6"/>
        <v>0</v>
      </c>
      <c r="K109" s="177">
        <f t="shared" si="6"/>
        <v>0</v>
      </c>
      <c r="L109" s="162"/>
      <c r="M109" s="160"/>
      <c r="N109" s="176">
        <f>N108</f>
        <v>0</v>
      </c>
      <c r="O109" s="160"/>
      <c r="P109" s="257"/>
      <c r="Q109" s="160"/>
      <c r="R109" s="160"/>
      <c r="S109" s="257"/>
      <c r="T109" s="178" t="str">
        <f>IF(S109="","-",IF(COUNTIF(E109:H109,P109)&lt;1,"Esp. Errada",ROUNDUP(S109/((G109+N109)*(H109+N109)*((E109+N109)+(F109+N109))/2/(P109+N109)),0)))</f>
        <v>-</v>
      </c>
      <c r="U109" s="257"/>
      <c r="V109" s="179">
        <f>IF(S109="",0,IF(OR(P109=E109,P109=G109,P109=H109),T109*U109,"ESP. ERRADA"))</f>
        <v>0</v>
      </c>
      <c r="W109" s="180"/>
      <c r="X109" s="181"/>
    </row>
    <row r="110" spans="1:27" s="186" customFormat="1" ht="15" customHeight="1" thickBot="1">
      <c r="A110" s="214"/>
      <c r="B110" s="332"/>
      <c r="C110" s="224"/>
      <c r="D110" s="201"/>
      <c r="E110" s="176">
        <f t="shared" ref="E110:K110" si="7">E108</f>
        <v>0</v>
      </c>
      <c r="F110" s="176">
        <f t="shared" si="7"/>
        <v>0</v>
      </c>
      <c r="G110" s="176">
        <f t="shared" si="7"/>
        <v>0</v>
      </c>
      <c r="H110" s="176">
        <f t="shared" si="7"/>
        <v>0</v>
      </c>
      <c r="I110" s="176">
        <f t="shared" si="7"/>
        <v>0</v>
      </c>
      <c r="J110" s="176">
        <f t="shared" si="7"/>
        <v>0</v>
      </c>
      <c r="K110" s="225">
        <f t="shared" si="7"/>
        <v>0</v>
      </c>
      <c r="L110" s="162"/>
      <c r="M110" s="270"/>
      <c r="N110" s="176">
        <f>N108</f>
        <v>0</v>
      </c>
      <c r="O110" s="201"/>
      <c r="P110" s="257"/>
      <c r="Q110" s="201"/>
      <c r="R110" s="201"/>
      <c r="S110" s="201"/>
      <c r="T110" s="227" t="str">
        <f>IF(M110="","-",IF(COUNTIF(E110:H110,P110)&lt;1,"Esp. Errada",ROUNDUP(M110/IF(G110=P110,G110,(G110+N110))/IF(H110=P110,H110,(H110+N110))/IF(E110=P110,E110,(E110+N110)),0)))</f>
        <v>-</v>
      </c>
      <c r="U110" s="257"/>
      <c r="V110" s="179">
        <f>IF(M110="",0,IF(OR(P110=E110,P110=G110,P110=H110),T110*U110,"ESP. ERRADA"))</f>
        <v>0</v>
      </c>
      <c r="W110" s="229"/>
      <c r="X110" s="230"/>
      <c r="Z110" s="187"/>
      <c r="AA110" s="187"/>
    </row>
    <row r="111" spans="1:27" s="186" customFormat="1" ht="15" customHeight="1">
      <c r="A111" s="215"/>
      <c r="B111" s="210"/>
      <c r="C111" s="200"/>
      <c r="D111" s="195"/>
      <c r="E111" s="195"/>
      <c r="F111" s="195"/>
      <c r="G111" s="195"/>
      <c r="H111" s="195"/>
      <c r="I111" s="195"/>
      <c r="J111" s="196"/>
      <c r="K111" s="196"/>
      <c r="L111" s="144"/>
      <c r="M111" s="195"/>
      <c r="N111" s="195"/>
      <c r="O111" s="195"/>
      <c r="P111" s="195"/>
      <c r="Q111" s="195"/>
      <c r="R111" s="195"/>
      <c r="S111" s="195"/>
      <c r="T111" s="195"/>
      <c r="U111" s="195"/>
      <c r="V111" s="197"/>
      <c r="W111" s="185"/>
      <c r="X111" s="141"/>
      <c r="Z111" s="187"/>
      <c r="AA111" s="187"/>
    </row>
    <row r="112" spans="1:27" s="186" customFormat="1" ht="15" customHeight="1" thickBot="1">
      <c r="A112" s="215"/>
      <c r="B112" s="279" t="s">
        <v>1010</v>
      </c>
      <c r="C112" s="280"/>
      <c r="D112" s="281"/>
      <c r="E112" s="281"/>
      <c r="F112" s="281"/>
      <c r="G112" s="281"/>
      <c r="H112" s="281"/>
      <c r="I112" s="281"/>
      <c r="J112" s="282"/>
      <c r="K112" s="282"/>
      <c r="L112" s="283"/>
      <c r="M112" s="281"/>
      <c r="N112" s="281"/>
      <c r="O112" s="281"/>
      <c r="P112" s="281"/>
      <c r="Q112" s="281"/>
      <c r="R112" s="281"/>
      <c r="S112" s="284"/>
      <c r="T112" s="281"/>
      <c r="U112" s="281" t="s">
        <v>678</v>
      </c>
      <c r="V112" s="285" t="s">
        <v>27</v>
      </c>
      <c r="W112" s="286"/>
      <c r="X112" s="287"/>
      <c r="Z112" s="187"/>
      <c r="AA112" s="187"/>
    </row>
    <row r="113" spans="1:27" s="186" customFormat="1" ht="15" customHeight="1" thickBot="1">
      <c r="A113" s="215"/>
      <c r="B113" s="210"/>
      <c r="C113" s="133">
        <f>SUMIF(Densidades!A:A,'Memória TOTAL'!X113,Densidades!B:B)</f>
        <v>0</v>
      </c>
      <c r="D113" s="134">
        <f>SUMIF(Densidades!A:A,'Memória TOTAL'!X113,Densidades!C:C)</f>
        <v>0</v>
      </c>
      <c r="E113" s="134" t="str">
        <f>IF(I113=15,"FIRECLAY MORTAR",IF(I113=16,"ALUMINA MORTAR",IF(I113=17,"BASIC MORTAR",IF(I113=18,"MORTAR","-"))))</f>
        <v>-</v>
      </c>
      <c r="F113" s="134" t="str">
        <f>IF(I113=15,"FIRECLAY MORTAR",IF(I113=16,"ALUMINA MORTAR",IF(I113=17,"BASIC MORTAR",IF(I113=18,"MORTAR","-"))))</f>
        <v>-</v>
      </c>
      <c r="G113" s="134" t="str">
        <f>IF(I113=15,"FIRECLAY MORTAR",IF(I113=16,"ALUMINA MORTAR",IF(I113=17,"BASIC MORTAR",IF(I113=18,"MORTAR","-"))))</f>
        <v>-</v>
      </c>
      <c r="H113" s="134" t="str">
        <f>IF(I113=15,"FIRECLAY MORTAR",IF(I113=16,"ALUMINA MORTAR",IF(I113=17,"BASIC MORTAR",IF(I113=18,"MORTAR","-"))))</f>
        <v>-</v>
      </c>
      <c r="I113" s="134">
        <f>SUMIF(Densidades!A:A,'Memória TOTAL'!X113,Densidades!G:G)</f>
        <v>0</v>
      </c>
      <c r="J113" s="136">
        <f>SUMIF(Formatos!A:A,'Memória TOTAL'!X114,Formatos!G:G)</f>
        <v>0</v>
      </c>
      <c r="K113" s="137">
        <f>SUMIF(Densidades!A:A,'Memória TOTAL'!X113,Densidades!I:I)</f>
        <v>0</v>
      </c>
      <c r="L113" s="188">
        <v>0</v>
      </c>
      <c r="M113" s="189"/>
      <c r="N113" s="189"/>
      <c r="O113" s="189"/>
      <c r="P113" s="189"/>
      <c r="Q113" s="189"/>
      <c r="R113" s="189"/>
      <c r="S113" s="189"/>
      <c r="T113" s="190"/>
      <c r="U113" s="290"/>
      <c r="V113" s="192" t="e">
        <f>(W106*J106*C113)*U113</f>
        <v>#VALUE!</v>
      </c>
      <c r="W113" s="193" t="str">
        <f>IF(C113=0,"",ROUNDUP(SUM(V113:V114)*(1+L113)/D113,2)*D113)</f>
        <v/>
      </c>
      <c r="X113" s="263"/>
      <c r="Z113" s="187"/>
      <c r="AA113" s="187"/>
    </row>
    <row r="114" spans="1:27" s="186" customFormat="1" ht="15" customHeight="1">
      <c r="A114" s="215"/>
      <c r="B114" s="210"/>
      <c r="C114" s="133"/>
      <c r="D114" s="195"/>
      <c r="E114" s="195"/>
      <c r="F114" s="195"/>
      <c r="G114" s="195"/>
      <c r="H114" s="195"/>
      <c r="I114" s="195"/>
      <c r="J114" s="196"/>
      <c r="K114" s="196"/>
      <c r="L114" s="144"/>
      <c r="M114" s="195"/>
      <c r="N114" s="195"/>
      <c r="O114" s="195"/>
      <c r="P114" s="195"/>
      <c r="Q114" s="195"/>
      <c r="R114" s="195"/>
      <c r="S114" s="195"/>
      <c r="T114" s="195"/>
      <c r="U114" s="195"/>
      <c r="V114" s="197"/>
      <c r="W114" s="185"/>
      <c r="X114" s="141" t="str">
        <f>IF(AND(H113="-",G113="-",F113="-"),E113,IF(AND(H113="-",G113="-",E113="-"),F113,IF(AND(H113="-",F113="-",E113="-"),G113,H113)))</f>
        <v>-</v>
      </c>
      <c r="Z114" s="187"/>
      <c r="AA114" s="187"/>
    </row>
    <row r="115" spans="1:27" s="186" customFormat="1" ht="15" customHeight="1">
      <c r="A115" s="215"/>
      <c r="B115" s="213"/>
      <c r="C115" s="133"/>
      <c r="D115" s="195"/>
      <c r="E115" s="195"/>
      <c r="F115" s="195"/>
      <c r="G115" s="195"/>
      <c r="H115" s="195"/>
      <c r="I115" s="195"/>
      <c r="J115" s="196"/>
      <c r="K115" s="196"/>
      <c r="L115" s="144"/>
      <c r="M115" s="195"/>
      <c r="N115" s="195"/>
      <c r="O115" s="195"/>
      <c r="P115" s="195"/>
      <c r="Q115" s="195"/>
      <c r="R115" s="195"/>
      <c r="S115" s="195"/>
      <c r="T115" s="195"/>
      <c r="U115" s="195"/>
      <c r="V115" s="197"/>
      <c r="W115" s="185"/>
      <c r="X115" s="141" t="s">
        <v>2</v>
      </c>
      <c r="Z115" s="187"/>
      <c r="AA115" s="187"/>
    </row>
    <row r="116" spans="1:27" ht="15" customHeight="1">
      <c r="A116" s="215"/>
      <c r="B116" s="131"/>
      <c r="C116" s="169"/>
      <c r="D116" s="170"/>
      <c r="E116" s="170"/>
      <c r="F116" s="170"/>
      <c r="G116" s="170"/>
      <c r="H116" s="170"/>
      <c r="I116" s="170"/>
      <c r="J116" s="171"/>
      <c r="K116" s="171"/>
      <c r="L116" s="172"/>
      <c r="M116" s="170"/>
      <c r="N116" s="170"/>
      <c r="O116" s="170"/>
      <c r="P116" s="170"/>
      <c r="Q116" s="170"/>
      <c r="R116" s="170"/>
      <c r="S116" s="170"/>
      <c r="T116" s="170"/>
      <c r="U116" s="170"/>
      <c r="V116" s="173"/>
      <c r="W116" s="174"/>
      <c r="X116" s="175"/>
    </row>
    <row r="117" spans="1:27" s="186" customFormat="1" ht="15" customHeight="1" thickBot="1">
      <c r="A117" s="215"/>
      <c r="B117" s="279" t="s">
        <v>1011</v>
      </c>
      <c r="C117" s="280"/>
      <c r="D117" s="281"/>
      <c r="E117" s="281"/>
      <c r="F117" s="281"/>
      <c r="G117" s="281"/>
      <c r="H117" s="281"/>
      <c r="I117" s="281"/>
      <c r="J117" s="282"/>
      <c r="K117" s="282"/>
      <c r="L117" s="283"/>
      <c r="M117" s="281"/>
      <c r="N117" s="281"/>
      <c r="O117" s="281"/>
      <c r="P117" s="281"/>
      <c r="Q117" s="281"/>
      <c r="R117" s="281" t="s">
        <v>636</v>
      </c>
      <c r="S117" s="284" t="s">
        <v>637</v>
      </c>
      <c r="T117" s="281" t="s">
        <v>638</v>
      </c>
      <c r="U117" s="281" t="s">
        <v>38</v>
      </c>
      <c r="V117" s="285" t="s">
        <v>27</v>
      </c>
      <c r="W117" s="286"/>
      <c r="X117" s="287"/>
      <c r="Z117" s="187"/>
      <c r="AA117" s="187"/>
    </row>
    <row r="118" spans="1:27" s="186" customFormat="1" ht="15" customHeight="1" thickBot="1">
      <c r="A118" s="215"/>
      <c r="B118" s="210"/>
      <c r="C118" s="133">
        <f>SUMIF(Densidades!A:A,'Memória TOTAL'!X118,Densidades!B:B)</f>
        <v>0</v>
      </c>
      <c r="D118" s="134">
        <f>SUMIF(Densidades!A:A,'Memória TOTAL'!X118,Densidades!C:C)</f>
        <v>0</v>
      </c>
      <c r="E118" s="134" t="str">
        <f>IF(I118=15,"FIRECLAY MORTAR",IF(I118=16,"ALUMINA MORTAR",IF(I118=17,"BASIC MORTAR",IF(I118=18,"MORTAR","-"))))</f>
        <v>-</v>
      </c>
      <c r="F118" s="134" t="str">
        <f>IF(I118=15,"FIRECLAY MORTAR",IF(I118=16,"ALUMINA MORTAR",IF(I118=17,"BASIC MORTAR",IF(I118=18,"MORTAR","-"))))</f>
        <v>-</v>
      </c>
      <c r="G118" s="134" t="str">
        <f>IF(I118=15,"FIRECLAY MORTAR",IF(I118=16,"ALUMINA MORTAR",IF(I118=17,"BASIC MORTAR",IF(I118=18,"MORTAR","-"))))</f>
        <v>-</v>
      </c>
      <c r="H118" s="134" t="str">
        <f>IF(I118=15,"FIRECLAY MORTAR",IF(I118=16,"ALUMINA MORTAR",IF(I118=17,"BASIC MORTAR",IF(I118=18,"MORTAR","-"))))</f>
        <v>-</v>
      </c>
      <c r="I118" s="134">
        <f>SUMIF(Densidades!A:A,'Memória TOTAL'!X118,Densidades!G:G)</f>
        <v>0</v>
      </c>
      <c r="J118" s="136">
        <f>SUMIF(Formatos!A:A,'Memória TOTAL'!X119,Formatos!G:G)</f>
        <v>0</v>
      </c>
      <c r="K118" s="222">
        <f>SUMIF(Densidades!A:A,'Memória TOTAL'!X118,Densidades!I:I)</f>
        <v>0</v>
      </c>
      <c r="L118" s="188">
        <v>0</v>
      </c>
      <c r="M118" s="189"/>
      <c r="N118" s="189"/>
      <c r="O118" s="189"/>
      <c r="P118" s="189"/>
      <c r="Q118" s="189"/>
      <c r="R118" s="190">
        <f>((G106*H106)+(G106*E106)+(H106*E106))/1000000</f>
        <v>0</v>
      </c>
      <c r="S118" s="259">
        <v>2</v>
      </c>
      <c r="T118" s="190">
        <f>R118*S118</f>
        <v>0</v>
      </c>
      <c r="U118" s="191">
        <f>SUM(W106:W107)</f>
        <v>0</v>
      </c>
      <c r="V118" s="192">
        <f>(T118*C118*(1+L118))*U118</f>
        <v>0</v>
      </c>
      <c r="W118" s="140" t="str">
        <f>IF(C118=0,"",ROUNDUP(SUM(V118:V119)*(1+L118)/D118,2)*D118)</f>
        <v/>
      </c>
      <c r="X118" s="263"/>
      <c r="Z118" s="187"/>
      <c r="AA118" s="187"/>
    </row>
    <row r="119" spans="1:27" s="186" customFormat="1" ht="15" customHeight="1">
      <c r="A119" s="215"/>
      <c r="B119" s="210"/>
      <c r="C119" s="133"/>
      <c r="D119" s="195"/>
      <c r="E119" s="195"/>
      <c r="F119" s="195"/>
      <c r="G119" s="195"/>
      <c r="H119" s="195"/>
      <c r="I119" s="195"/>
      <c r="J119" s="196"/>
      <c r="K119" s="196"/>
      <c r="L119" s="144"/>
      <c r="M119" s="195"/>
      <c r="N119" s="195"/>
      <c r="O119" s="195"/>
      <c r="P119" s="195"/>
      <c r="Q119" s="195"/>
      <c r="R119" s="195"/>
      <c r="S119" s="195"/>
      <c r="T119" s="195"/>
      <c r="U119" s="195"/>
      <c r="V119" s="197"/>
      <c r="W119" s="185"/>
      <c r="X119" s="141" t="str">
        <f>IF(AND(H118="-",G118="-",F118="-"),E118,IF(AND(H118="-",G118="-",E118="-"),F118,IF(AND(H118="-",F118="-",E118="-"),G118,H118)))</f>
        <v>-</v>
      </c>
      <c r="Z119" s="187"/>
      <c r="AA119" s="187"/>
    </row>
    <row r="120" spans="1:27" s="186" customFormat="1" ht="15" customHeight="1">
      <c r="A120" s="215"/>
      <c r="B120" s="213"/>
      <c r="C120" s="133"/>
      <c r="D120" s="195"/>
      <c r="E120" s="195"/>
      <c r="F120" s="195"/>
      <c r="G120" s="195"/>
      <c r="H120" s="195"/>
      <c r="I120" s="195"/>
      <c r="J120" s="196"/>
      <c r="K120" s="196"/>
      <c r="L120" s="144"/>
      <c r="M120" s="195"/>
      <c r="N120" s="195"/>
      <c r="O120" s="195"/>
      <c r="P120" s="195"/>
      <c r="Q120" s="195"/>
      <c r="R120" s="195"/>
      <c r="S120" s="195"/>
      <c r="T120" s="195"/>
      <c r="U120" s="195"/>
      <c r="V120" s="197"/>
      <c r="W120" s="185"/>
      <c r="X120" s="141" t="s">
        <v>2</v>
      </c>
      <c r="Z120" s="187"/>
      <c r="AA120" s="187"/>
    </row>
    <row r="121" spans="1:27" s="186" customFormat="1" ht="15" customHeight="1">
      <c r="A121" s="215"/>
      <c r="B121" s="213"/>
      <c r="C121" s="133"/>
      <c r="D121" s="195"/>
      <c r="E121" s="195"/>
      <c r="F121" s="195"/>
      <c r="G121" s="195"/>
      <c r="H121" s="195"/>
      <c r="I121" s="195"/>
      <c r="J121" s="196"/>
      <c r="K121" s="196"/>
      <c r="L121" s="144"/>
      <c r="M121" s="195"/>
      <c r="N121" s="195"/>
      <c r="O121" s="195"/>
      <c r="P121" s="195"/>
      <c r="Q121" s="195"/>
      <c r="R121" s="195"/>
      <c r="S121" s="195"/>
      <c r="T121" s="195"/>
      <c r="U121" s="195"/>
      <c r="V121" s="197"/>
      <c r="W121" s="185"/>
      <c r="X121" s="141"/>
      <c r="Z121" s="187"/>
      <c r="AA121" s="187"/>
    </row>
    <row r="122" spans="1:27" s="186" customFormat="1" ht="15" customHeight="1" thickBot="1">
      <c r="A122" s="215"/>
      <c r="B122" s="509"/>
      <c r="C122" s="509"/>
      <c r="D122" s="512"/>
      <c r="E122" s="512"/>
      <c r="F122" s="512"/>
      <c r="G122" s="512"/>
      <c r="H122" s="512"/>
      <c r="I122" s="512"/>
      <c r="J122" s="512"/>
      <c r="K122" s="512"/>
      <c r="L122" s="512"/>
      <c r="M122" s="512"/>
      <c r="N122" s="512"/>
      <c r="O122" s="512"/>
      <c r="P122" s="512"/>
      <c r="Q122" s="512"/>
      <c r="R122" s="512"/>
      <c r="S122" s="512"/>
      <c r="T122" s="512"/>
      <c r="U122" s="512"/>
      <c r="V122" s="512"/>
      <c r="W122" s="512"/>
      <c r="X122" s="513"/>
      <c r="Z122" s="187"/>
      <c r="AA122" s="187"/>
    </row>
    <row r="123" spans="1:27" ht="15" customHeight="1" thickBot="1">
      <c r="A123" s="215"/>
      <c r="B123" s="272" t="str">
        <f>IF(X124="","TIJOLO / COMPOSIÇÃO",X124)</f>
        <v>TIJOLO / COMPOSIÇÃO</v>
      </c>
      <c r="C123" s="273" t="s">
        <v>101</v>
      </c>
      <c r="D123" s="274" t="s">
        <v>102</v>
      </c>
      <c r="E123" s="274" t="s">
        <v>42</v>
      </c>
      <c r="F123" s="274" t="s">
        <v>42</v>
      </c>
      <c r="G123" s="274" t="s">
        <v>43</v>
      </c>
      <c r="H123" s="274" t="s">
        <v>44</v>
      </c>
      <c r="I123" s="274" t="s">
        <v>47</v>
      </c>
      <c r="J123" s="274" t="s">
        <v>103</v>
      </c>
      <c r="K123" s="274" t="s">
        <v>37</v>
      </c>
      <c r="L123" s="274" t="s">
        <v>39</v>
      </c>
      <c r="M123" s="274" t="s">
        <v>45</v>
      </c>
      <c r="N123" s="274" t="s">
        <v>46</v>
      </c>
      <c r="O123" s="274" t="s">
        <v>672</v>
      </c>
      <c r="P123" s="274" t="s">
        <v>51</v>
      </c>
      <c r="Q123" s="274" t="s">
        <v>52</v>
      </c>
      <c r="R123" s="274"/>
      <c r="S123" s="274"/>
      <c r="T123" s="274" t="s">
        <v>673</v>
      </c>
      <c r="U123" s="274" t="s">
        <v>677</v>
      </c>
      <c r="V123" s="275" t="s">
        <v>27</v>
      </c>
      <c r="W123" s="276"/>
      <c r="X123" s="277"/>
    </row>
    <row r="124" spans="1:27" ht="15" customHeight="1" thickBot="1">
      <c r="A124" s="244"/>
      <c r="B124" s="246" t="s">
        <v>674</v>
      </c>
      <c r="C124" s="245">
        <f>SUMIF(Densidades!A:A,'Memória TOTAL'!X124,Densidades!B:B)</f>
        <v>0</v>
      </c>
      <c r="D124" s="134">
        <f>SUMIF(Densidades!A:A,'Memória TOTAL'!X124,Densidades!C:C)</f>
        <v>0</v>
      </c>
      <c r="E124" s="135">
        <f>IF(AND(E130=1,E131=2),SUMIF(Formatos!A:A,'Memória TOTAL'!X125,Formatos!D:D),SUMIF(Formatos!A:A,'Memória TOTAL'!X125,Formatos!E:E))</f>
        <v>0</v>
      </c>
      <c r="F124" s="135">
        <f>IF(AND(E130=1,E131=2),SUMIF(Formatos!A:A,'Memória TOTAL'!X125,Formatos!R:R),SUMIF(Formatos!A:A,'Memória TOTAL'!X125,Formatos!F:F))</f>
        <v>0</v>
      </c>
      <c r="G124" s="135">
        <f>SUMIF(Formatos!A:A,'Memória TOTAL'!X125,Formatos!C:C)</f>
        <v>0</v>
      </c>
      <c r="H124" s="135">
        <f>IF(AND(E130=1,E131=2),SUMIF(Formatos!A:A,'Memória TOTAL'!X125,Formatos!E:E),SUMIF(Formatos!A:A,'Memória TOTAL'!X125,Formatos!D:D))</f>
        <v>0</v>
      </c>
      <c r="I124" s="135">
        <f>SUMIF(Densidades!A:A,'Memória TOTAL'!X124,Densidades!H:H)</f>
        <v>0</v>
      </c>
      <c r="J124" s="136">
        <f>SUMIF(Formatos!A:A,'Memória TOTAL'!X125,Formatos!G:G)</f>
        <v>0</v>
      </c>
      <c r="K124" s="137">
        <f>SUMIF(Densidades!A:A,'Memória TOTAL'!X124,Densidades!I:I)</f>
        <v>0</v>
      </c>
      <c r="L124" s="253">
        <v>0</v>
      </c>
      <c r="M124" s="256"/>
      <c r="N124" s="256"/>
      <c r="O124" s="257"/>
      <c r="P124" s="255">
        <f>O124*2</f>
        <v>0</v>
      </c>
      <c r="Q124" s="139">
        <f>P124-(2*M124)</f>
        <v>0</v>
      </c>
      <c r="R124" s="139"/>
      <c r="S124" s="260"/>
      <c r="T124" s="261">
        <f>IF(AND(B126=0,B128=0),,IF(AND(B128=0,B126&lt;&gt;0),1,IF(OR(B128-B126&gt;=0,B128=0),(B128-B126)+1,"ERRO")))</f>
        <v>0</v>
      </c>
      <c r="U124" s="257"/>
      <c r="V124" s="256" t="str">
        <f>IF(M124="","",IF(AND(OR(M124=E124,M124=G124,M124=H124),H124=H128),ROUND(P134,0),"ESP. ERRADA"))</f>
        <v/>
      </c>
      <c r="W124" s="262" t="str">
        <f>IFERROR(IF(C124=0,"",ROUNDUP(SUM(V124)*(1+L124),0))*T124*U124,"")</f>
        <v/>
      </c>
      <c r="X124" s="263"/>
    </row>
    <row r="125" spans="1:27" s="186" customFormat="1" ht="15" customHeight="1" thickBot="1">
      <c r="A125" s="264"/>
      <c r="B125" s="249" t="s">
        <v>112</v>
      </c>
      <c r="C125" s="236"/>
      <c r="D125" s="195"/>
      <c r="E125" s="195"/>
      <c r="F125" s="195"/>
      <c r="G125" s="195"/>
      <c r="H125" s="195"/>
      <c r="I125" s="195"/>
      <c r="J125" s="196"/>
      <c r="K125" s="196"/>
      <c r="L125" s="144"/>
      <c r="M125" s="195"/>
      <c r="N125" s="195"/>
      <c r="O125" s="195"/>
      <c r="P125" s="195"/>
      <c r="Q125" s="195"/>
      <c r="R125" s="195"/>
      <c r="S125" s="195"/>
      <c r="T125" s="195"/>
      <c r="U125" s="195"/>
      <c r="V125" s="197"/>
      <c r="W125" s="185"/>
      <c r="X125" s="141" t="str">
        <f>IF(B130="","",B130)</f>
        <v/>
      </c>
      <c r="Z125" s="187"/>
      <c r="AA125" s="187"/>
    </row>
    <row r="126" spans="1:27" s="186" customFormat="1" ht="15" customHeight="1" thickBot="1">
      <c r="A126" s="264"/>
      <c r="B126" s="265"/>
      <c r="C126" s="236"/>
      <c r="D126" s="195"/>
      <c r="E126" s="195"/>
      <c r="F126" s="195"/>
      <c r="G126" s="195"/>
      <c r="H126" s="195"/>
      <c r="I126" s="195"/>
      <c r="J126" s="196"/>
      <c r="K126" s="196"/>
      <c r="L126" s="144"/>
      <c r="M126" s="195"/>
      <c r="N126" s="195"/>
      <c r="O126" s="195"/>
      <c r="P126" s="195"/>
      <c r="Q126" s="195"/>
      <c r="R126" s="195"/>
      <c r="S126" s="195"/>
      <c r="T126" s="195"/>
      <c r="U126" s="195"/>
      <c r="V126" s="197"/>
      <c r="W126" s="185"/>
      <c r="X126" s="141" t="s">
        <v>524</v>
      </c>
      <c r="Z126" s="187"/>
      <c r="AA126" s="187"/>
    </row>
    <row r="127" spans="1:27" s="186" customFormat="1" ht="15" customHeight="1" thickBot="1">
      <c r="A127" s="264"/>
      <c r="B127" s="249" t="s">
        <v>22</v>
      </c>
      <c r="C127" s="236" t="str">
        <f t="shared" ref="C127:L127" si="8">C123</f>
        <v>Dens.</v>
      </c>
      <c r="D127" s="195" t="str">
        <f t="shared" si="8"/>
        <v>Emb.</v>
      </c>
      <c r="E127" s="238" t="str">
        <f t="shared" si="8"/>
        <v>Esp. Tij.</v>
      </c>
      <c r="F127" s="238" t="str">
        <f t="shared" si="8"/>
        <v>Esp. Tij.</v>
      </c>
      <c r="G127" s="238" t="str">
        <f t="shared" si="8"/>
        <v>Comp. Tij.</v>
      </c>
      <c r="H127" s="238" t="str">
        <f t="shared" si="8"/>
        <v>Larg. Tij.</v>
      </c>
      <c r="I127" s="238" t="str">
        <f t="shared" si="8"/>
        <v>Tipo Fator</v>
      </c>
      <c r="J127" s="238" t="str">
        <f t="shared" si="8"/>
        <v>Vol.</v>
      </c>
      <c r="K127" s="238" t="str">
        <f t="shared" si="8"/>
        <v>Class.</v>
      </c>
      <c r="L127" s="195" t="str">
        <f t="shared" si="8"/>
        <v>Coefic. (%)</v>
      </c>
      <c r="M127" s="195"/>
      <c r="N127" s="195"/>
      <c r="O127" s="195"/>
      <c r="P127" s="195"/>
      <c r="Q127" s="195"/>
      <c r="R127" s="195"/>
      <c r="S127" s="195"/>
      <c r="T127" s="195"/>
      <c r="U127" s="195"/>
      <c r="V127" s="242"/>
      <c r="W127" s="185"/>
      <c r="X127" s="141"/>
      <c r="Z127" s="187"/>
      <c r="AA127" s="187"/>
    </row>
    <row r="128" spans="1:27" s="186" customFormat="1" ht="15" customHeight="1" thickBot="1">
      <c r="A128" s="264"/>
      <c r="B128" s="265"/>
      <c r="C128" s="245">
        <f>SUMIF(Densidades!A:A,'Memória TOTAL'!X128,Densidades!B:B)</f>
        <v>0</v>
      </c>
      <c r="D128" s="134">
        <f>SUMIF(Densidades!A:A,'Memória TOTAL'!X128,Densidades!C:C)</f>
        <v>620</v>
      </c>
      <c r="E128" s="135">
        <f>SUMIF(Formatos!A:A,'Memória TOTAL'!X129,Formatos!E:E)</f>
        <v>0</v>
      </c>
      <c r="F128" s="135">
        <f>SUMIF(Formatos!A:A,'Memória TOTAL'!X129,Formatos!F:F)</f>
        <v>0</v>
      </c>
      <c r="G128" s="135">
        <f>SUMIF(Formatos!A:A,'Memória TOTAL'!X129,Formatos!C:C)</f>
        <v>0</v>
      </c>
      <c r="H128" s="135">
        <f>SUMIF(Formatos!A:A,'Memória TOTAL'!X129,Formatos!D:D)</f>
        <v>0</v>
      </c>
      <c r="I128" s="135">
        <f>SUMIF(Densidades!A:A,'Memória TOTAL'!X128,Densidades!H:H)</f>
        <v>0</v>
      </c>
      <c r="J128" s="136">
        <f>SUMIF(Formatos!A:A,'Memória TOTAL'!X129,Formatos!G:G)</f>
        <v>0</v>
      </c>
      <c r="K128" s="222">
        <f>SUMIF(Densidades!A:A,'Memória TOTAL'!X128,Densidades!I:I)</f>
        <v>177</v>
      </c>
      <c r="L128" s="223">
        <v>0</v>
      </c>
      <c r="M128" s="195"/>
      <c r="N128" s="195"/>
      <c r="O128" s="195"/>
      <c r="P128" s="195"/>
      <c r="Q128" s="195"/>
      <c r="R128" s="195"/>
      <c r="S128" s="195"/>
      <c r="T128" s="232"/>
      <c r="U128" s="235"/>
      <c r="V128" s="256" t="str">
        <f>IF(M124="","",IF(AND(OR(M124=E128,M124=G128,M124=H128),H124=H128),ROUND(Q134,0),"ESP. ERRADA"))</f>
        <v/>
      </c>
      <c r="W128" s="267" t="str">
        <f>IFERROR(IF(C128=0,"",ROUNDUP(SUM(V128)*(1+L128),0))*T124*U124,"")</f>
        <v/>
      </c>
      <c r="X128" s="141" t="str">
        <f>IF(X124="","",X124)</f>
        <v/>
      </c>
      <c r="Z128" s="187"/>
      <c r="AA128" s="187"/>
    </row>
    <row r="129" spans="1:27" s="186" customFormat="1" ht="15" customHeight="1" thickBot="1">
      <c r="A129" s="264"/>
      <c r="B129" s="247" t="s">
        <v>675</v>
      </c>
      <c r="C129" s="236"/>
      <c r="D129" s="195"/>
      <c r="E129" s="195"/>
      <c r="F129" s="195"/>
      <c r="G129" s="195"/>
      <c r="H129" s="195"/>
      <c r="I129" s="195"/>
      <c r="J129" s="196"/>
      <c r="K129" s="196"/>
      <c r="L129" s="144"/>
      <c r="M129" s="195"/>
      <c r="N129" s="195"/>
      <c r="O129" s="195"/>
      <c r="P129" s="195"/>
      <c r="Q129" s="195"/>
      <c r="R129" s="195"/>
      <c r="S129" s="195"/>
      <c r="T129" s="195"/>
      <c r="U129" s="195"/>
      <c r="V129" s="197"/>
      <c r="W129" s="185"/>
      <c r="X129" s="141" t="str">
        <f>IF(B131="","",B131)</f>
        <v/>
      </c>
      <c r="Z129" s="187"/>
      <c r="AA129" s="187"/>
    </row>
    <row r="130" spans="1:27" s="186" customFormat="1" ht="15" customHeight="1" thickBot="1">
      <c r="A130" s="264"/>
      <c r="B130" s="263"/>
      <c r="C130" s="243" t="s">
        <v>54</v>
      </c>
      <c r="D130" s="239"/>
      <c r="E130" s="195">
        <f>SUMIF(Formatos!A:A,'Memória TOTAL'!X125,Formatos!S:S)</f>
        <v>0</v>
      </c>
      <c r="F130" s="238"/>
      <c r="G130" s="238"/>
      <c r="H130" s="148" t="s">
        <v>54</v>
      </c>
      <c r="I130" s="148" t="s">
        <v>55</v>
      </c>
      <c r="J130" s="196"/>
      <c r="K130" s="196"/>
      <c r="L130" s="144"/>
      <c r="M130" s="195"/>
      <c r="N130" s="195" t="s">
        <v>22</v>
      </c>
      <c r="O130" s="149" t="s">
        <v>48</v>
      </c>
      <c r="P130" s="149" t="s">
        <v>49</v>
      </c>
      <c r="Q130" s="150" t="s">
        <v>50</v>
      </c>
      <c r="R130" s="149" t="s">
        <v>54</v>
      </c>
      <c r="S130" s="149" t="s">
        <v>55</v>
      </c>
      <c r="T130" s="195"/>
      <c r="U130" s="195"/>
      <c r="V130" s="197"/>
      <c r="W130" s="185"/>
      <c r="X130" s="141" t="s">
        <v>524</v>
      </c>
      <c r="Z130" s="187"/>
      <c r="AA130" s="187"/>
    </row>
    <row r="131" spans="1:27" s="186" customFormat="1" ht="15" customHeight="1" thickBot="1">
      <c r="A131" s="264"/>
      <c r="B131" s="263"/>
      <c r="C131" s="243" t="s">
        <v>55</v>
      </c>
      <c r="D131" s="239"/>
      <c r="E131" s="195">
        <f>SUMIF(Formatos!A:A,'Memória TOTAL'!X129,Formatos!S:S)</f>
        <v>0</v>
      </c>
      <c r="F131" s="195"/>
      <c r="G131" s="195"/>
      <c r="H131" s="240" t="e">
        <f>(1/(-(N131+N124)*(Q131+N124)+(O131+N124)*(P131+N124)))*3.1416*(-P124*(Q131+N124)+Q124*(P131+N124))</f>
        <v>#DIV/0!</v>
      </c>
      <c r="I131" s="240" t="e">
        <f>((P124*PI())-(H131*(N131+N124)))/(P131+N124)</f>
        <v>#DIV/0!</v>
      </c>
      <c r="J131" s="196"/>
      <c r="K131" s="196"/>
      <c r="L131" s="144"/>
      <c r="M131" s="195"/>
      <c r="N131" s="195">
        <f>E124</f>
        <v>0</v>
      </c>
      <c r="O131" s="151">
        <f>F124</f>
        <v>0</v>
      </c>
      <c r="P131" s="151">
        <f>E128</f>
        <v>0</v>
      </c>
      <c r="Q131" s="157">
        <f>F128</f>
        <v>0</v>
      </c>
      <c r="R131" s="151" t="e">
        <f>IF(ROUND(H131+0.4,0)&gt;=0,ROUND(H131+0.4,0),"ERRO")</f>
        <v>#DIV/0!</v>
      </c>
      <c r="S131" s="151" t="e">
        <f>IF(ROUND(I131+0.4,0)&gt;=0,ROUND(I131+0.4,0),"ERRO")</f>
        <v>#DIV/0!</v>
      </c>
      <c r="T131" s="195"/>
      <c r="U131" s="195"/>
      <c r="V131" s="197"/>
      <c r="W131" s="231"/>
      <c r="X131" s="141"/>
      <c r="Z131" s="187"/>
      <c r="AA131" s="187"/>
    </row>
    <row r="132" spans="1:27" s="155" customFormat="1" ht="15" customHeight="1" thickBot="1">
      <c r="A132" s="248"/>
      <c r="B132" s="247" t="s">
        <v>676</v>
      </c>
      <c r="C132" s="236"/>
      <c r="D132" s="195"/>
      <c r="E132" s="195"/>
      <c r="F132" s="195"/>
      <c r="G132" s="195"/>
      <c r="H132" s="195"/>
      <c r="I132" s="195"/>
      <c r="J132" s="196"/>
      <c r="K132" s="196"/>
      <c r="L132" s="195"/>
      <c r="M132" s="195"/>
      <c r="N132" s="195"/>
      <c r="O132" s="241"/>
      <c r="P132" s="195"/>
      <c r="Q132" s="195"/>
      <c r="R132" s="195"/>
      <c r="S132" s="195"/>
      <c r="T132" s="151"/>
      <c r="U132" s="151"/>
      <c r="V132" s="152"/>
      <c r="W132" s="153"/>
      <c r="X132" s="154"/>
      <c r="Z132" s="156"/>
      <c r="AA132" s="156"/>
    </row>
    <row r="133" spans="1:27" s="155" customFormat="1" ht="15" customHeight="1" thickBot="1">
      <c r="A133" s="248"/>
      <c r="B133" s="250"/>
      <c r="C133" s="236"/>
      <c r="D133" s="195"/>
      <c r="E133" s="195"/>
      <c r="F133" s="195"/>
      <c r="G133" s="195"/>
      <c r="H133" s="195"/>
      <c r="I133" s="195"/>
      <c r="J133" s="196"/>
      <c r="K133" s="196"/>
      <c r="L133" s="195"/>
      <c r="M133" s="195"/>
      <c r="N133" s="235"/>
      <c r="O133" s="611" t="s">
        <v>53</v>
      </c>
      <c r="P133" s="236" t="s">
        <v>54</v>
      </c>
      <c r="Q133" s="195" t="s">
        <v>55</v>
      </c>
      <c r="R133" s="195"/>
      <c r="S133" s="195"/>
      <c r="T133" s="151"/>
      <c r="U133" s="151"/>
      <c r="V133" s="152"/>
      <c r="W133" s="153"/>
      <c r="X133" s="154"/>
      <c r="Z133" s="156"/>
      <c r="AA133" s="156"/>
    </row>
    <row r="134" spans="1:27" s="155" customFormat="1" ht="15" customHeight="1" thickBot="1">
      <c r="A134" s="248"/>
      <c r="B134" s="251" t="str">
        <f>IF(AND(B128&lt;&gt;B126,B128&lt;&gt;0),"FIADAS "&amp;B126&amp;" a "&amp;B128,"FIADA "&amp;B126)</f>
        <v xml:space="preserve">FIADA </v>
      </c>
      <c r="C134" s="268"/>
      <c r="D134" s="201"/>
      <c r="E134" s="201"/>
      <c r="F134" s="201"/>
      <c r="G134" s="201"/>
      <c r="H134" s="201"/>
      <c r="I134" s="201"/>
      <c r="J134" s="234"/>
      <c r="K134" s="234"/>
      <c r="L134" s="162"/>
      <c r="M134" s="201"/>
      <c r="N134" s="164"/>
      <c r="O134" s="259">
        <v>360</v>
      </c>
      <c r="P134" s="258" t="e">
        <f>IF(H131/360*O134-ROUNDDOWN(H131/360*O134,0)&gt;I131/360*O134-ROUNDDOWN(I131/360*O134,0),ROUNDUP(H131/360*O134,0),ROUNDUP(SUM(H131/360*O134,I131/360*O134),0)-ROUNDUP(I131/360*O134,0))</f>
        <v>#DIV/0!</v>
      </c>
      <c r="Q134" s="252" t="e">
        <f>IF(I131/360*O134-ROUNDDOWN(I131/360*O134,0)&gt;H131/360*O134-ROUNDDOWN(H131/360*O134,0),ROUNDUP(I131/360*O134,0),ROUNDUP(SUM(H131/360*O134,I131/360*O134),0)-ROUNDUP(H131/360*O134,0))</f>
        <v>#DIV/0!</v>
      </c>
      <c r="R134" s="163"/>
      <c r="S134" s="163"/>
      <c r="T134" s="163"/>
      <c r="U134" s="163"/>
      <c r="V134" s="164"/>
      <c r="W134" s="165"/>
      <c r="X134" s="166"/>
      <c r="Z134" s="156"/>
      <c r="AA134" s="156"/>
    </row>
    <row r="135" spans="1:27" s="186" customFormat="1" ht="15" customHeight="1">
      <c r="A135" s="215"/>
      <c r="B135" s="210"/>
      <c r="C135" s="298"/>
      <c r="D135" s="195"/>
      <c r="E135" s="135"/>
      <c r="F135" s="135"/>
      <c r="G135" s="135"/>
      <c r="H135" s="135"/>
      <c r="I135" s="232"/>
      <c r="J135" s="232"/>
      <c r="K135" s="232"/>
      <c r="L135" s="195"/>
      <c r="M135" s="195"/>
      <c r="N135" s="195"/>
      <c r="O135" s="144"/>
      <c r="P135" s="195"/>
      <c r="Q135" s="195"/>
      <c r="R135" s="195"/>
      <c r="S135" s="195"/>
      <c r="T135" s="195"/>
      <c r="U135" s="195"/>
      <c r="V135" s="197"/>
      <c r="W135" s="185"/>
      <c r="X135" s="141"/>
      <c r="Z135" s="187"/>
      <c r="AA135" s="187"/>
    </row>
    <row r="136" spans="1:27" s="186" customFormat="1" ht="15" customHeight="1">
      <c r="A136" s="215"/>
      <c r="B136" s="210"/>
      <c r="C136" s="298"/>
      <c r="D136" s="195"/>
      <c r="E136" s="135"/>
      <c r="F136" s="135"/>
      <c r="G136" s="135"/>
      <c r="H136" s="135"/>
      <c r="I136" s="232"/>
      <c r="J136" s="232"/>
      <c r="K136" s="232"/>
      <c r="L136" s="195"/>
      <c r="M136" s="195"/>
      <c r="N136" s="195"/>
      <c r="O136" s="144"/>
      <c r="P136" s="195"/>
      <c r="Q136" s="195"/>
      <c r="R136" s="195"/>
      <c r="S136" s="195"/>
      <c r="T136" s="195"/>
      <c r="U136" s="195"/>
      <c r="V136" s="197"/>
      <c r="W136" s="185"/>
      <c r="X136" s="141"/>
      <c r="Z136" s="187"/>
      <c r="AA136" s="187"/>
    </row>
    <row r="137" spans="1:27" s="186" customFormat="1" ht="15" customHeight="1" thickBot="1">
      <c r="A137" s="215"/>
      <c r="B137" s="279" t="s">
        <v>1010</v>
      </c>
      <c r="C137" s="280"/>
      <c r="D137" s="281"/>
      <c r="E137" s="281"/>
      <c r="F137" s="281"/>
      <c r="G137" s="281"/>
      <c r="H137" s="281"/>
      <c r="I137" s="281"/>
      <c r="J137" s="282"/>
      <c r="K137" s="282"/>
      <c r="L137" s="283"/>
      <c r="M137" s="281"/>
      <c r="N137" s="281"/>
      <c r="O137" s="281"/>
      <c r="P137" s="281"/>
      <c r="Q137" s="281"/>
      <c r="R137" s="281"/>
      <c r="S137" s="284"/>
      <c r="T137" s="281"/>
      <c r="U137" s="281" t="s">
        <v>678</v>
      </c>
      <c r="V137" s="285" t="s">
        <v>27</v>
      </c>
      <c r="W137" s="286"/>
      <c r="X137" s="287"/>
      <c r="Z137" s="187"/>
      <c r="AA137" s="187"/>
    </row>
    <row r="138" spans="1:27" s="186" customFormat="1" ht="15" customHeight="1" thickBot="1">
      <c r="A138" s="215"/>
      <c r="B138" s="210"/>
      <c r="C138" s="133">
        <f>SUMIF(Densidades!A:A,'Memória TOTAL'!X138,Densidades!B:B)</f>
        <v>0</v>
      </c>
      <c r="D138" s="134">
        <f>SUMIF(Densidades!A:A,'Memória TOTAL'!X138,Densidades!C:C)</f>
        <v>0</v>
      </c>
      <c r="E138" s="134" t="str">
        <f>IF(I138=15,"FIRECLAY MORTAR",IF(I138=16,"ALUMINA MORTAR",IF(I138=17,"BASIC MORTAR",IF(I138=18,"MORTAR","-"))))</f>
        <v>-</v>
      </c>
      <c r="F138" s="134" t="str">
        <f>IF(I138=15,"FIRECLAY MORTAR",IF(I138=16,"ALUMINA MORTAR",IF(I138=17,"BASIC MORTAR",IF(I138=18,"MORTAR","-"))))</f>
        <v>-</v>
      </c>
      <c r="G138" s="134" t="str">
        <f>IF(I138=15,"FIRECLAY MORTAR",IF(I138=16,"ALUMINA MORTAR",IF(I138=17,"BASIC MORTAR",IF(I138=18,"MORTAR","-"))))</f>
        <v>-</v>
      </c>
      <c r="H138" s="134" t="str">
        <f>IF(I138=15,"FIRECLAY MORTAR",IF(I138=16,"ALUMINA MORTAR",IF(I138=17,"BASIC MORTAR",IF(I138=18,"MORTAR","-"))))</f>
        <v>-</v>
      </c>
      <c r="I138" s="134">
        <f>SUMIF(Densidades!A:A,'Memória TOTAL'!X138,Densidades!G:G)</f>
        <v>0</v>
      </c>
      <c r="J138" s="136">
        <f>SUMIF(Formatos!A:A,'Memória TOTAL'!X139,Formatos!G:G)</f>
        <v>0</v>
      </c>
      <c r="K138" s="137">
        <f>SUMIF(Densidades!A:A,'Memória TOTAL'!X138,Densidades!I:I)</f>
        <v>0</v>
      </c>
      <c r="L138" s="188">
        <v>0</v>
      </c>
      <c r="M138" s="189"/>
      <c r="N138" s="189"/>
      <c r="O138" s="189"/>
      <c r="P138" s="189"/>
      <c r="Q138" s="189"/>
      <c r="R138" s="189"/>
      <c r="S138" s="189"/>
      <c r="T138" s="190"/>
      <c r="U138" s="290"/>
      <c r="V138" s="192" t="e">
        <f>(W124*J124*C138+W128*J128*C138)*U138</f>
        <v>#VALUE!</v>
      </c>
      <c r="W138" s="193" t="str">
        <f>IF(C138=0,"",ROUNDUP(SUM(V138:V139)*(1+L138)/D138,2)*D138)</f>
        <v/>
      </c>
      <c r="X138" s="263"/>
      <c r="Z138" s="187"/>
      <c r="AA138" s="187"/>
    </row>
    <row r="139" spans="1:27" s="186" customFormat="1" ht="15" customHeight="1">
      <c r="A139" s="215"/>
      <c r="B139" s="210"/>
      <c r="C139" s="133"/>
      <c r="D139" s="195"/>
      <c r="E139" s="195"/>
      <c r="F139" s="195"/>
      <c r="G139" s="195"/>
      <c r="H139" s="195"/>
      <c r="I139" s="195"/>
      <c r="J139" s="196"/>
      <c r="K139" s="196"/>
      <c r="L139" s="144"/>
      <c r="M139" s="195"/>
      <c r="N139" s="195"/>
      <c r="O139" s="195"/>
      <c r="P139" s="195"/>
      <c r="Q139" s="195"/>
      <c r="R139" s="195"/>
      <c r="S139" s="195"/>
      <c r="T139" s="195"/>
      <c r="U139" s="195"/>
      <c r="V139" s="197"/>
      <c r="W139" s="185"/>
      <c r="X139" s="141" t="str">
        <f>IF(AND(H138="-",G138="-",F138="-"),E138,IF(AND(H138="-",G138="-",E138="-"),F138,IF(AND(H138="-",F138="-",E138="-"),G138,H138)))</f>
        <v>-</v>
      </c>
      <c r="Z139" s="187"/>
      <c r="AA139" s="187"/>
    </row>
    <row r="140" spans="1:27" s="186" customFormat="1" ht="15" customHeight="1">
      <c r="A140" s="215"/>
      <c r="B140" s="213"/>
      <c r="C140" s="133"/>
      <c r="D140" s="195"/>
      <c r="E140" s="195"/>
      <c r="F140" s="195"/>
      <c r="G140" s="195"/>
      <c r="H140" s="195"/>
      <c r="I140" s="195"/>
      <c r="J140" s="196"/>
      <c r="K140" s="196"/>
      <c r="L140" s="144"/>
      <c r="M140" s="195"/>
      <c r="N140" s="195"/>
      <c r="O140" s="195"/>
      <c r="P140" s="195"/>
      <c r="Q140" s="195"/>
      <c r="R140" s="195"/>
      <c r="S140" s="195"/>
      <c r="T140" s="195"/>
      <c r="U140" s="195"/>
      <c r="V140" s="197"/>
      <c r="W140" s="185"/>
      <c r="X140" s="141" t="s">
        <v>2</v>
      </c>
      <c r="Z140" s="187"/>
      <c r="AA140" s="187"/>
    </row>
    <row r="141" spans="1:27" ht="15" customHeight="1">
      <c r="A141" s="215"/>
      <c r="B141" s="131"/>
      <c r="C141" s="169"/>
      <c r="D141" s="170"/>
      <c r="E141" s="170"/>
      <c r="F141" s="170"/>
      <c r="G141" s="170"/>
      <c r="H141" s="170"/>
      <c r="I141" s="170"/>
      <c r="J141" s="171"/>
      <c r="K141" s="171"/>
      <c r="L141" s="172"/>
      <c r="M141" s="170"/>
      <c r="N141" s="170"/>
      <c r="O141" s="170"/>
      <c r="P141" s="170"/>
      <c r="Q141" s="170"/>
      <c r="R141" s="170"/>
      <c r="S141" s="170"/>
      <c r="T141" s="170"/>
      <c r="U141" s="170"/>
      <c r="V141" s="173"/>
      <c r="W141" s="174"/>
      <c r="X141" s="175"/>
    </row>
    <row r="142" spans="1:27" s="186" customFormat="1" ht="15" customHeight="1" thickBot="1">
      <c r="A142" s="215"/>
      <c r="B142" s="279" t="s">
        <v>1011</v>
      </c>
      <c r="C142" s="280"/>
      <c r="D142" s="281"/>
      <c r="E142" s="281"/>
      <c r="F142" s="281"/>
      <c r="G142" s="281"/>
      <c r="H142" s="281"/>
      <c r="I142" s="281"/>
      <c r="J142" s="282"/>
      <c r="K142" s="282"/>
      <c r="L142" s="283"/>
      <c r="M142" s="281"/>
      <c r="N142" s="281"/>
      <c r="O142" s="281"/>
      <c r="P142" s="281"/>
      <c r="Q142" s="281"/>
      <c r="R142" s="281" t="s">
        <v>636</v>
      </c>
      <c r="S142" s="284" t="s">
        <v>637</v>
      </c>
      <c r="T142" s="281" t="s">
        <v>638</v>
      </c>
      <c r="U142" s="281" t="s">
        <v>38</v>
      </c>
      <c r="V142" s="285" t="s">
        <v>27</v>
      </c>
      <c r="W142" s="286"/>
      <c r="X142" s="287"/>
      <c r="Z142" s="187"/>
      <c r="AA142" s="187"/>
    </row>
    <row r="143" spans="1:27" s="186" customFormat="1" ht="15" customHeight="1" thickBot="1">
      <c r="A143" s="215"/>
      <c r="B143" s="210"/>
      <c r="C143" s="133">
        <f>SUMIF(Densidades!A:A,'Memória TOTAL'!X143,Densidades!B:B)</f>
        <v>0</v>
      </c>
      <c r="D143" s="134">
        <f>SUMIF(Densidades!A:A,'Memória TOTAL'!X143,Densidades!C:C)</f>
        <v>0</v>
      </c>
      <c r="E143" s="134" t="str">
        <f>IF(I143=15,"FIRECLAY MORTAR",IF(I143=16,"ALUMINA MORTAR",IF(I143=17,"BASIC MORTAR",IF(I143=18,"MORTAR","-"))))</f>
        <v>-</v>
      </c>
      <c r="F143" s="134" t="str">
        <f>IF(I143=15,"FIRECLAY MORTAR",IF(I143=16,"ALUMINA MORTAR",IF(I143=17,"BASIC MORTAR",IF(I143=18,"MORTAR","-"))))</f>
        <v>-</v>
      </c>
      <c r="G143" s="134" t="str">
        <f>IF(I143=15,"FIRECLAY MORTAR",IF(I143=16,"ALUMINA MORTAR",IF(I143=17,"BASIC MORTAR",IF(I143=18,"MORTAR","-"))))</f>
        <v>-</v>
      </c>
      <c r="H143" s="134" t="str">
        <f>IF(I143=15,"FIRECLAY MORTAR",IF(I143=16,"ALUMINA MORTAR",IF(I143=17,"BASIC MORTAR",IF(I143=18,"MORTAR","-"))))</f>
        <v>-</v>
      </c>
      <c r="I143" s="134">
        <f>SUMIF(Densidades!A:A,'Memória TOTAL'!X143,Densidades!G:G)</f>
        <v>0</v>
      </c>
      <c r="J143" s="136">
        <f>SUMIF(Formatos!A:A,'Memória TOTAL'!X144,Formatos!G:G)</f>
        <v>0</v>
      </c>
      <c r="K143" s="222">
        <f>SUMIF(Densidades!A:A,'Memória TOTAL'!X143,Densidades!I:I)</f>
        <v>0</v>
      </c>
      <c r="L143" s="188">
        <v>0</v>
      </c>
      <c r="M143" s="189"/>
      <c r="N143" s="189"/>
      <c r="O143" s="189"/>
      <c r="P143" s="189"/>
      <c r="Q143" s="189"/>
      <c r="R143" s="190">
        <f>((G124*H124)+(G124*E124)+(H124*E124))/1000000</f>
        <v>0</v>
      </c>
      <c r="S143" s="259">
        <v>2</v>
      </c>
      <c r="T143" s="190">
        <f>R143*S143</f>
        <v>0</v>
      </c>
      <c r="U143" s="191">
        <f>SUM(W124:W129)</f>
        <v>0</v>
      </c>
      <c r="V143" s="192">
        <f>(T143*C143*(1+L143))*U143</f>
        <v>0</v>
      </c>
      <c r="W143" s="140" t="str">
        <f>IF(C143=0,"",ROUNDUP(SUM(V143:V144)*(1+L143)/D143,2)*D143)</f>
        <v/>
      </c>
      <c r="X143" s="263"/>
      <c r="Z143" s="187"/>
      <c r="AA143" s="187"/>
    </row>
    <row r="144" spans="1:27" s="186" customFormat="1" ht="15" customHeight="1">
      <c r="A144" s="215"/>
      <c r="B144" s="210"/>
      <c r="C144" s="133"/>
      <c r="D144" s="195"/>
      <c r="E144" s="195"/>
      <c r="F144" s="195"/>
      <c r="G144" s="195"/>
      <c r="H144" s="195"/>
      <c r="I144" s="195"/>
      <c r="J144" s="196"/>
      <c r="K144" s="196"/>
      <c r="L144" s="144"/>
      <c r="M144" s="195"/>
      <c r="N144" s="195"/>
      <c r="O144" s="195"/>
      <c r="P144" s="195"/>
      <c r="Q144" s="195"/>
      <c r="R144" s="195"/>
      <c r="S144" s="195"/>
      <c r="T144" s="195"/>
      <c r="U144" s="195"/>
      <c r="V144" s="197"/>
      <c r="W144" s="185"/>
      <c r="X144" s="141" t="str">
        <f>IF(AND(H143="-",G143="-",F143="-"),E143,IF(AND(H143="-",G143="-",E143="-"),F143,IF(AND(H143="-",F143="-",E143="-"),G143,H143)))</f>
        <v>-</v>
      </c>
      <c r="Z144" s="187"/>
      <c r="AA144" s="187"/>
    </row>
    <row r="145" spans="1:27" s="186" customFormat="1" ht="15" customHeight="1">
      <c r="A145" s="215"/>
      <c r="B145" s="213"/>
      <c r="C145" s="133"/>
      <c r="D145" s="195"/>
      <c r="E145" s="195"/>
      <c r="F145" s="195"/>
      <c r="G145" s="195"/>
      <c r="H145" s="195"/>
      <c r="I145" s="195"/>
      <c r="J145" s="196"/>
      <c r="K145" s="196"/>
      <c r="L145" s="144"/>
      <c r="M145" s="195"/>
      <c r="N145" s="195"/>
      <c r="O145" s="195"/>
      <c r="P145" s="195"/>
      <c r="Q145" s="195"/>
      <c r="R145" s="195"/>
      <c r="S145" s="195"/>
      <c r="T145" s="195"/>
      <c r="U145" s="195"/>
      <c r="V145" s="197"/>
      <c r="W145" s="185"/>
      <c r="X145" s="141" t="s">
        <v>2</v>
      </c>
      <c r="Z145" s="187"/>
      <c r="AA145" s="187"/>
    </row>
    <row r="146" spans="1:27" s="186" customFormat="1" ht="15" customHeight="1">
      <c r="A146" s="215"/>
      <c r="B146" s="213"/>
      <c r="C146" s="133"/>
      <c r="D146" s="195"/>
      <c r="E146" s="195"/>
      <c r="F146" s="195"/>
      <c r="G146" s="195"/>
      <c r="H146" s="195"/>
      <c r="I146" s="195"/>
      <c r="J146" s="196"/>
      <c r="K146" s="196"/>
      <c r="L146" s="144"/>
      <c r="M146" s="195"/>
      <c r="N146" s="195"/>
      <c r="O146" s="195"/>
      <c r="P146" s="195"/>
      <c r="Q146" s="195"/>
      <c r="R146" s="195"/>
      <c r="S146" s="195"/>
      <c r="T146" s="195"/>
      <c r="U146" s="195"/>
      <c r="V146" s="197"/>
      <c r="W146" s="185"/>
      <c r="X146" s="141"/>
      <c r="Z146" s="187"/>
      <c r="AA146" s="187"/>
    </row>
    <row r="147" spans="1:27" s="186" customFormat="1" ht="15" customHeight="1" thickBot="1">
      <c r="A147" s="215"/>
      <c r="B147" s="509"/>
      <c r="C147" s="509"/>
      <c r="D147" s="512"/>
      <c r="E147" s="512"/>
      <c r="F147" s="512"/>
      <c r="G147" s="512"/>
      <c r="H147" s="512"/>
      <c r="I147" s="512"/>
      <c r="J147" s="512"/>
      <c r="K147" s="512"/>
      <c r="L147" s="512"/>
      <c r="M147" s="512"/>
      <c r="N147" s="512"/>
      <c r="O147" s="512"/>
      <c r="P147" s="512"/>
      <c r="Q147" s="512"/>
      <c r="R147" s="512"/>
      <c r="S147" s="512"/>
      <c r="T147" s="512"/>
      <c r="U147" s="512"/>
      <c r="V147" s="512"/>
      <c r="W147" s="512"/>
      <c r="X147" s="513"/>
      <c r="Z147" s="187"/>
      <c r="AA147" s="187"/>
    </row>
    <row r="148" spans="1:27" ht="15" customHeight="1" thickBot="1">
      <c r="A148" s="215"/>
      <c r="B148" s="272" t="str">
        <f>IF(X149="","TIJOLO / COMPOSIÇÃO",X149)</f>
        <v>TIJOLO / COMPOSIÇÃO</v>
      </c>
      <c r="C148" s="273" t="s">
        <v>101</v>
      </c>
      <c r="D148" s="274" t="s">
        <v>102</v>
      </c>
      <c r="E148" s="274" t="s">
        <v>42</v>
      </c>
      <c r="F148" s="274" t="s">
        <v>42</v>
      </c>
      <c r="G148" s="274" t="s">
        <v>43</v>
      </c>
      <c r="H148" s="274" t="s">
        <v>44</v>
      </c>
      <c r="I148" s="274" t="s">
        <v>47</v>
      </c>
      <c r="J148" s="274" t="s">
        <v>103</v>
      </c>
      <c r="K148" s="274" t="s">
        <v>37</v>
      </c>
      <c r="L148" s="274" t="s">
        <v>39</v>
      </c>
      <c r="M148" s="274" t="s">
        <v>45</v>
      </c>
      <c r="N148" s="274" t="s">
        <v>46</v>
      </c>
      <c r="O148" s="274" t="s">
        <v>672</v>
      </c>
      <c r="P148" s="274" t="s">
        <v>51</v>
      </c>
      <c r="Q148" s="274" t="s">
        <v>52</v>
      </c>
      <c r="R148" s="274"/>
      <c r="S148" s="274"/>
      <c r="T148" s="274"/>
      <c r="U148" s="274" t="s">
        <v>677</v>
      </c>
      <c r="V148" s="275" t="s">
        <v>27</v>
      </c>
      <c r="W148" s="276"/>
      <c r="X148" s="277"/>
    </row>
    <row r="149" spans="1:27" ht="15" customHeight="1" thickBot="1">
      <c r="A149" s="244"/>
      <c r="B149" s="246" t="s">
        <v>674</v>
      </c>
      <c r="C149" s="245">
        <f>SUMIF(Densidades!A:A,'Memória TOTAL'!X149,Densidades!B:B)</f>
        <v>0</v>
      </c>
      <c r="D149" s="134">
        <f>SUMIF(Densidades!A:A,'Memória TOTAL'!X149,Densidades!C:C)</f>
        <v>0</v>
      </c>
      <c r="E149" s="135">
        <f>IF(AND(E155=1,E156=2),SUMIF(Formatos!A:A,'Memória TOTAL'!X150,Formatos!D:D),SUMIF(Formatos!A:A,'Memória TOTAL'!X150,Formatos!E:E))</f>
        <v>0</v>
      </c>
      <c r="F149" s="135">
        <f>IF(AND(E155=1,E156=2),SUMIF(Formatos!A:A,'Memória TOTAL'!X150,Formatos!R:R),SUMIF(Formatos!A:A,'Memória TOTAL'!X150,Formatos!F:F))</f>
        <v>0</v>
      </c>
      <c r="G149" s="135">
        <f>SUMIF(Formatos!A:A,'Memória TOTAL'!X150,Formatos!C:C)</f>
        <v>0</v>
      </c>
      <c r="H149" s="135">
        <f>IF(AND(E155=1,E156=2),SUMIF(Formatos!A:A,'Memória TOTAL'!X150,Formatos!E:E),SUMIF(Formatos!A:A,'Memória TOTAL'!X150,Formatos!D:D))</f>
        <v>0</v>
      </c>
      <c r="I149" s="135">
        <f>SUMIF(Densidades!A:A,'Memória TOTAL'!X149,Densidades!H:H)</f>
        <v>0</v>
      </c>
      <c r="J149" s="136">
        <f>SUMIF(Formatos!A:A,'Memória TOTAL'!X150,Formatos!G:G)</f>
        <v>0</v>
      </c>
      <c r="K149" s="137">
        <f>SUMIF(Densidades!A:A,'Memória TOTAL'!X149,Densidades!I:I)</f>
        <v>0</v>
      </c>
      <c r="L149" s="253">
        <v>0</v>
      </c>
      <c r="M149" s="256"/>
      <c r="N149" s="256"/>
      <c r="O149" s="257"/>
      <c r="P149" s="255">
        <f>O149*2</f>
        <v>0</v>
      </c>
      <c r="Q149" s="139">
        <f>P149-(2*M149)</f>
        <v>0</v>
      </c>
      <c r="R149" s="139"/>
      <c r="S149" s="260"/>
      <c r="T149" s="260"/>
      <c r="U149" s="257"/>
      <c r="V149" s="256" t="str">
        <f>IF(M149="","",IF(AND(OR(M149=E149,M149=G149,M149=H149),H149=H153),ROUND(SUM(P159:P209),0),"ESP. ERRADA"))</f>
        <v/>
      </c>
      <c r="W149" s="262" t="str">
        <f>IFERROR(IF(C149=0,"",ROUNDUP(SUM(V149)*(1+L149),0))*U149,"")</f>
        <v/>
      </c>
      <c r="X149" s="263"/>
    </row>
    <row r="150" spans="1:27" s="186" customFormat="1" ht="15" customHeight="1">
      <c r="A150" s="215"/>
      <c r="B150" s="490"/>
      <c r="C150" s="489"/>
      <c r="D150" s="195"/>
      <c r="E150" s="195"/>
      <c r="F150" s="195"/>
      <c r="G150" s="195"/>
      <c r="H150" s="195"/>
      <c r="I150" s="195"/>
      <c r="J150" s="196"/>
      <c r="K150" s="196"/>
      <c r="L150" s="144"/>
      <c r="M150" s="195"/>
      <c r="N150" s="195"/>
      <c r="O150" s="195"/>
      <c r="P150" s="195"/>
      <c r="Q150" s="195"/>
      <c r="R150" s="195"/>
      <c r="S150" s="195"/>
      <c r="T150" s="195"/>
      <c r="U150" s="195"/>
      <c r="V150" s="197"/>
      <c r="W150" s="185"/>
      <c r="X150" s="141" t="str">
        <f>IF(B155="","",B155)</f>
        <v/>
      </c>
      <c r="Z150" s="187"/>
      <c r="AA150" s="187"/>
    </row>
    <row r="151" spans="1:27" s="186" customFormat="1" ht="15" customHeight="1">
      <c r="A151" s="215"/>
      <c r="B151" s="491"/>
      <c r="C151" s="200"/>
      <c r="D151" s="195"/>
      <c r="E151" s="195"/>
      <c r="F151" s="195"/>
      <c r="G151" s="195"/>
      <c r="H151" s="195"/>
      <c r="I151" s="195"/>
      <c r="J151" s="196"/>
      <c r="K151" s="196"/>
      <c r="L151" s="144"/>
      <c r="M151" s="195"/>
      <c r="N151" s="195"/>
      <c r="O151" s="195"/>
      <c r="P151" s="195"/>
      <c r="Q151" s="195"/>
      <c r="R151" s="195"/>
      <c r="S151" s="195"/>
      <c r="T151" s="195"/>
      <c r="U151" s="195"/>
      <c r="V151" s="197"/>
      <c r="W151" s="185"/>
      <c r="X151" s="141" t="s">
        <v>524</v>
      </c>
      <c r="Z151" s="187"/>
      <c r="AA151" s="187"/>
    </row>
    <row r="152" spans="1:27" s="186" customFormat="1" ht="15" customHeight="1" thickBot="1">
      <c r="A152" s="215"/>
      <c r="B152" s="491"/>
      <c r="C152" s="200" t="str">
        <f t="shared" ref="C152:L152" si="9">C148</f>
        <v>Dens.</v>
      </c>
      <c r="D152" s="195" t="str">
        <f t="shared" si="9"/>
        <v>Emb.</v>
      </c>
      <c r="E152" s="238" t="str">
        <f t="shared" si="9"/>
        <v>Esp. Tij.</v>
      </c>
      <c r="F152" s="238" t="str">
        <f t="shared" si="9"/>
        <v>Esp. Tij.</v>
      </c>
      <c r="G152" s="238" t="str">
        <f t="shared" si="9"/>
        <v>Comp. Tij.</v>
      </c>
      <c r="H152" s="238" t="str">
        <f t="shared" si="9"/>
        <v>Larg. Tij.</v>
      </c>
      <c r="I152" s="238" t="str">
        <f t="shared" si="9"/>
        <v>Tipo Fator</v>
      </c>
      <c r="J152" s="238" t="str">
        <f t="shared" si="9"/>
        <v>Vol.</v>
      </c>
      <c r="K152" s="238" t="str">
        <f t="shared" si="9"/>
        <v>Class.</v>
      </c>
      <c r="L152" s="195" t="str">
        <f t="shared" si="9"/>
        <v>Coefic. (%)</v>
      </c>
      <c r="M152" s="195"/>
      <c r="N152" s="195"/>
      <c r="O152" s="195"/>
      <c r="P152" s="195"/>
      <c r="Q152" s="195"/>
      <c r="R152" s="195"/>
      <c r="S152" s="195"/>
      <c r="T152" s="195"/>
      <c r="U152" s="195"/>
      <c r="V152" s="242"/>
      <c r="W152" s="185"/>
      <c r="X152" s="141"/>
      <c r="Z152" s="187"/>
      <c r="AA152" s="187"/>
    </row>
    <row r="153" spans="1:27" s="186" customFormat="1" ht="15" customHeight="1" thickBot="1">
      <c r="A153" s="215"/>
      <c r="B153" s="492"/>
      <c r="C153" s="133">
        <f>SUMIF(Densidades!A:A,'Memória TOTAL'!X153,Densidades!B:B)</f>
        <v>0</v>
      </c>
      <c r="D153" s="134">
        <f>SUMIF(Densidades!A:A,'Memória TOTAL'!X153,Densidades!C:C)</f>
        <v>620</v>
      </c>
      <c r="E153" s="135">
        <f>SUMIF(Formatos!A:A,'Memória TOTAL'!X154,Formatos!E:E)</f>
        <v>0</v>
      </c>
      <c r="F153" s="135">
        <f>SUMIF(Formatos!A:A,'Memória TOTAL'!X154,Formatos!F:F)</f>
        <v>0</v>
      </c>
      <c r="G153" s="135">
        <f>SUMIF(Formatos!A:A,'Memória TOTAL'!X154,Formatos!C:C)</f>
        <v>0</v>
      </c>
      <c r="H153" s="135">
        <f>SUMIF(Formatos!A:A,'Memória TOTAL'!X154,Formatos!D:D)</f>
        <v>0</v>
      </c>
      <c r="I153" s="135">
        <f>SUMIF(Densidades!A:A,'Memória TOTAL'!X153,Densidades!H:H)</f>
        <v>0</v>
      </c>
      <c r="J153" s="136">
        <f>SUMIF(Formatos!A:A,'Memória TOTAL'!X154,Formatos!G:G)</f>
        <v>0</v>
      </c>
      <c r="K153" s="222">
        <f>SUMIF(Densidades!A:A,'Memória TOTAL'!X153,Densidades!I:I)</f>
        <v>177</v>
      </c>
      <c r="L153" s="223">
        <v>0</v>
      </c>
      <c r="M153" s="195"/>
      <c r="N153" s="195"/>
      <c r="O153" s="195"/>
      <c r="P153" s="195"/>
      <c r="Q153" s="195"/>
      <c r="R153" s="195"/>
      <c r="S153" s="195"/>
      <c r="T153" s="232"/>
      <c r="U153" s="235"/>
      <c r="V153" s="256" t="str">
        <f>IF(M149="","",IF(AND(OR(M149=E153,M149=G153,M149=H153),H149=H153),ROUND(SUM(Q159:Q209),0),"ESP. ERRADA"))</f>
        <v/>
      </c>
      <c r="W153" s="267" t="str">
        <f>IFERROR(IF(C153=0,"",ROUNDUP(SUM(V153)*(1+L153),0))*U149,"")</f>
        <v/>
      </c>
      <c r="X153" s="141" t="str">
        <f>IF(X149="","",X149)</f>
        <v/>
      </c>
      <c r="Z153" s="187"/>
      <c r="AA153" s="187"/>
    </row>
    <row r="154" spans="1:27" s="186" customFormat="1" ht="15" customHeight="1" thickBot="1">
      <c r="A154" s="215"/>
      <c r="B154" s="247" t="s">
        <v>675</v>
      </c>
      <c r="C154" s="236"/>
      <c r="D154" s="195"/>
      <c r="E154" s="195"/>
      <c r="F154" s="195"/>
      <c r="G154" s="195"/>
      <c r="H154" s="195"/>
      <c r="I154" s="195"/>
      <c r="J154" s="196"/>
      <c r="K154" s="196"/>
      <c r="L154" s="144"/>
      <c r="M154" s="195"/>
      <c r="N154" s="195"/>
      <c r="O154" s="195"/>
      <c r="P154" s="195"/>
      <c r="Q154" s="195"/>
      <c r="R154" s="195"/>
      <c r="S154" s="195"/>
      <c r="T154" s="195"/>
      <c r="U154" s="195"/>
      <c r="V154" s="197"/>
      <c r="W154" s="185"/>
      <c r="X154" s="141" t="str">
        <f>IF(B156="","",B156)</f>
        <v/>
      </c>
      <c r="Z154" s="187"/>
      <c r="AA154" s="187"/>
    </row>
    <row r="155" spans="1:27" s="186" customFormat="1" ht="15" customHeight="1" thickBot="1">
      <c r="A155" s="215"/>
      <c r="B155" s="263"/>
      <c r="C155" s="243" t="s">
        <v>54</v>
      </c>
      <c r="D155" s="239"/>
      <c r="E155" s="195">
        <f>SUMIF(Formatos!A:A,'Memória TOTAL'!X150,Formatos!S:S)</f>
        <v>0</v>
      </c>
      <c r="F155" s="238"/>
      <c r="G155" s="238"/>
      <c r="H155" s="148" t="s">
        <v>54</v>
      </c>
      <c r="I155" s="148" t="s">
        <v>55</v>
      </c>
      <c r="J155" s="196"/>
      <c r="K155" s="196"/>
      <c r="L155" s="144"/>
      <c r="M155" s="195"/>
      <c r="N155" s="195" t="s">
        <v>22</v>
      </c>
      <c r="O155" s="149" t="s">
        <v>48</v>
      </c>
      <c r="P155" s="149" t="s">
        <v>49</v>
      </c>
      <c r="Q155" s="150" t="s">
        <v>50</v>
      </c>
      <c r="R155" s="149" t="s">
        <v>54</v>
      </c>
      <c r="S155" s="149" t="s">
        <v>55</v>
      </c>
      <c r="T155" s="195"/>
      <c r="U155" s="195"/>
      <c r="V155" s="197"/>
      <c r="W155" s="185"/>
      <c r="X155" s="141" t="s">
        <v>524</v>
      </c>
      <c r="Z155" s="187"/>
      <c r="AA155" s="187"/>
    </row>
    <row r="156" spans="1:27" s="186" customFormat="1" ht="15" customHeight="1" thickBot="1">
      <c r="A156" s="215"/>
      <c r="B156" s="263"/>
      <c r="C156" s="243" t="s">
        <v>55</v>
      </c>
      <c r="D156" s="239"/>
      <c r="E156" s="195">
        <f>SUMIF(Formatos!A:A,'Memória TOTAL'!X154,Formatos!S:S)</f>
        <v>0</v>
      </c>
      <c r="F156" s="195"/>
      <c r="G156" s="195"/>
      <c r="H156" s="240" t="e">
        <f>(1/(-(N156+N149)*(Q156+N149)+(O156+N149)*(P156+N149)))*3.1416*(-P149*(Q156+N149)+Q149*(P156+N149))</f>
        <v>#DIV/0!</v>
      </c>
      <c r="I156" s="240" t="e">
        <f>((P149*PI())-(H156*(N156+N149)))/(P156+N149)</f>
        <v>#DIV/0!</v>
      </c>
      <c r="J156" s="196"/>
      <c r="K156" s="196"/>
      <c r="L156" s="144"/>
      <c r="M156" s="195"/>
      <c r="N156" s="195">
        <f>E149</f>
        <v>0</v>
      </c>
      <c r="O156" s="151">
        <f>F149</f>
        <v>0</v>
      </c>
      <c r="P156" s="151">
        <f>E153</f>
        <v>0</v>
      </c>
      <c r="Q156" s="157">
        <f>F153</f>
        <v>0</v>
      </c>
      <c r="R156" s="151" t="e">
        <f>IF(ROUND(H156+0.4,0)&gt;=0,ROUND(H156+0.4,0),"ERRO")</f>
        <v>#DIV/0!</v>
      </c>
      <c r="S156" s="151" t="e">
        <f>IF(ROUND(I156+0.4,0)&gt;=0,ROUND(I156+0.4,0),"ERRO")</f>
        <v>#DIV/0!</v>
      </c>
      <c r="T156" s="195"/>
      <c r="U156" s="195"/>
      <c r="V156" s="197"/>
      <c r="W156" s="231"/>
      <c r="X156" s="141"/>
      <c r="Z156" s="187"/>
      <c r="AA156" s="187"/>
    </row>
    <row r="157" spans="1:27" s="155" customFormat="1" ht="15" customHeight="1" thickBot="1">
      <c r="A157" s="215"/>
      <c r="B157" s="247" t="s">
        <v>676</v>
      </c>
      <c r="C157" s="236"/>
      <c r="D157" s="195"/>
      <c r="E157" s="195"/>
      <c r="F157" s="195"/>
      <c r="G157" s="195"/>
      <c r="H157" s="195"/>
      <c r="I157" s="195"/>
      <c r="J157" s="195"/>
      <c r="K157" s="195"/>
      <c r="L157" s="195"/>
      <c r="M157" s="195"/>
      <c r="N157" s="195"/>
      <c r="O157" s="241"/>
      <c r="P157" s="195"/>
      <c r="Q157" s="195"/>
      <c r="R157" s="195"/>
      <c r="S157" s="195"/>
      <c r="T157" s="151"/>
      <c r="U157" s="151"/>
      <c r="V157" s="152"/>
      <c r="W157" s="153"/>
      <c r="X157" s="154"/>
      <c r="Z157" s="156"/>
      <c r="AA157" s="156"/>
    </row>
    <row r="158" spans="1:27" s="155" customFormat="1" ht="15" customHeight="1" thickBot="1">
      <c r="A158" s="215"/>
      <c r="B158" s="250"/>
      <c r="C158" s="236"/>
      <c r="D158" s="195"/>
      <c r="E158" s="195"/>
      <c r="F158" s="195"/>
      <c r="G158" s="195"/>
      <c r="H158" s="236" t="s">
        <v>54</v>
      </c>
      <c r="I158" s="195" t="s">
        <v>55</v>
      </c>
      <c r="J158" s="195"/>
      <c r="K158" s="195"/>
      <c r="L158" s="195"/>
      <c r="M158" s="195"/>
      <c r="N158" s="235"/>
      <c r="O158" s="611" t="s">
        <v>53</v>
      </c>
      <c r="P158" s="236" t="s">
        <v>54</v>
      </c>
      <c r="Q158" s="195" t="s">
        <v>55</v>
      </c>
      <c r="R158" s="195"/>
      <c r="S158" s="195"/>
      <c r="T158" s="151"/>
      <c r="U158" s="151"/>
      <c r="V158" s="152"/>
      <c r="W158" s="153"/>
      <c r="X158" s="154"/>
      <c r="Z158" s="156"/>
      <c r="AA158" s="156"/>
    </row>
    <row r="159" spans="1:27" s="155" customFormat="1" ht="15" customHeight="1">
      <c r="A159" s="215"/>
      <c r="B159" s="213" t="s">
        <v>392</v>
      </c>
      <c r="C159" s="488"/>
      <c r="D159" s="201"/>
      <c r="E159" s="201"/>
      <c r="F159" s="201"/>
      <c r="G159" s="201"/>
      <c r="H159" s="201" t="e">
        <f>H156</f>
        <v>#DIV/0!</v>
      </c>
      <c r="I159" s="268" t="e">
        <f>I156</f>
        <v>#DIV/0!</v>
      </c>
      <c r="J159" s="234"/>
      <c r="K159" s="337"/>
      <c r="L159" s="162"/>
      <c r="M159" s="201"/>
      <c r="N159" s="164"/>
      <c r="O159" s="617">
        <v>360</v>
      </c>
      <c r="P159" s="258" t="e">
        <f>IF(H159/360*O159-ROUNDDOWN(H159/360*O159,0)&gt;I159/360*O159-ROUNDDOWN(I159/360*O159,0),ROUNDUP(H159/360*O159,0),ROUNDUP(SUM(H159/360*O159,I159/360*O159),0)-ROUNDUP(I159/360*O159,0))</f>
        <v>#DIV/0!</v>
      </c>
      <c r="Q159" s="252" t="e">
        <f>IF(I159/360*O159-ROUNDDOWN(I159/360*O159,0)&gt;H159/360*O159-ROUNDDOWN(H159/360*O159,0),ROUNDUP(I159/360*O159,0),ROUNDUP(SUM(H159/360*O159,I159/360*O159),0)-ROUNDUP(H159/360*O159,0))</f>
        <v>#DIV/0!</v>
      </c>
      <c r="R159" s="163"/>
      <c r="S159" s="163"/>
      <c r="T159" s="163"/>
      <c r="U159" s="163"/>
      <c r="V159" s="164"/>
      <c r="W159" s="165"/>
      <c r="X159" s="166"/>
      <c r="Z159" s="156"/>
      <c r="AA159" s="156"/>
    </row>
    <row r="160" spans="1:27" s="155" customFormat="1" ht="15" customHeight="1">
      <c r="A160" s="215"/>
      <c r="B160" s="213" t="s">
        <v>984</v>
      </c>
      <c r="C160" s="488"/>
      <c r="D160" s="201"/>
      <c r="E160" s="201"/>
      <c r="F160" s="201"/>
      <c r="G160" s="201"/>
      <c r="H160" s="201" t="e">
        <f>H159</f>
        <v>#DIV/0!</v>
      </c>
      <c r="I160" s="268" t="e">
        <f>I159</f>
        <v>#DIV/0!</v>
      </c>
      <c r="J160" s="234"/>
      <c r="K160" s="337"/>
      <c r="L160" s="162"/>
      <c r="M160" s="201"/>
      <c r="N160" s="164"/>
      <c r="O160" s="618">
        <f>O159</f>
        <v>360</v>
      </c>
      <c r="P160" s="258" t="e">
        <f t="shared" ref="P160:P208" si="10">IF(H160/360*O160-ROUNDDOWN(H160/360*O160,0)&gt;I160/360*O160-ROUNDDOWN(I160/360*O160,0),ROUNDUP(H160/360*O160,0),ROUNDUP(SUM(H160/360*O160,I160/360*O160),0)-ROUNDUP(I160/360*O160,0))</f>
        <v>#DIV/0!</v>
      </c>
      <c r="Q160" s="252" t="e">
        <f t="shared" ref="Q160:Q208" si="11">IF(I160/360*O160-ROUNDDOWN(I160/360*O160,0)&gt;H160/360*O160-ROUNDDOWN(H160/360*O160,0),ROUNDUP(I160/360*O160,0),ROUNDUP(SUM(H160/360*O160,I160/360*O160),0)-ROUNDUP(H160/360*O160,0))</f>
        <v>#DIV/0!</v>
      </c>
      <c r="R160" s="163"/>
      <c r="S160" s="163"/>
      <c r="T160" s="163"/>
      <c r="U160" s="163"/>
      <c r="V160" s="164"/>
      <c r="W160" s="165"/>
      <c r="X160" s="166"/>
      <c r="Z160" s="156"/>
      <c r="AA160" s="156"/>
    </row>
    <row r="161" spans="1:27" s="155" customFormat="1" ht="15" customHeight="1">
      <c r="A161" s="215"/>
      <c r="B161" s="213" t="s">
        <v>393</v>
      </c>
      <c r="C161" s="488"/>
      <c r="D161" s="201"/>
      <c r="E161" s="201"/>
      <c r="F161" s="201"/>
      <c r="G161" s="201"/>
      <c r="H161" s="201" t="e">
        <f t="shared" ref="H161:H207" si="12">H160</f>
        <v>#DIV/0!</v>
      </c>
      <c r="I161" s="268" t="e">
        <f t="shared" ref="I161:I207" si="13">I160</f>
        <v>#DIV/0!</v>
      </c>
      <c r="J161" s="234"/>
      <c r="K161" s="337"/>
      <c r="L161" s="162"/>
      <c r="M161" s="201"/>
      <c r="N161" s="164"/>
      <c r="O161" s="618">
        <f t="shared" ref="O161:O207" si="14">O160</f>
        <v>360</v>
      </c>
      <c r="P161" s="258" t="e">
        <f t="shared" si="10"/>
        <v>#DIV/0!</v>
      </c>
      <c r="Q161" s="252" t="e">
        <f t="shared" si="11"/>
        <v>#DIV/0!</v>
      </c>
      <c r="R161" s="163"/>
      <c r="S161" s="163"/>
      <c r="T161" s="163"/>
      <c r="U161" s="163"/>
      <c r="V161" s="164"/>
      <c r="W161" s="165"/>
      <c r="X161" s="166"/>
      <c r="Z161" s="156"/>
      <c r="AA161" s="156"/>
    </row>
    <row r="162" spans="1:27" s="155" customFormat="1" ht="15" customHeight="1">
      <c r="A162" s="215"/>
      <c r="B162" s="213" t="s">
        <v>394</v>
      </c>
      <c r="C162" s="488"/>
      <c r="D162" s="201"/>
      <c r="E162" s="201"/>
      <c r="F162" s="201"/>
      <c r="G162" s="201"/>
      <c r="H162" s="201" t="e">
        <f t="shared" si="12"/>
        <v>#DIV/0!</v>
      </c>
      <c r="I162" s="268" t="e">
        <f t="shared" si="13"/>
        <v>#DIV/0!</v>
      </c>
      <c r="J162" s="234"/>
      <c r="K162" s="337"/>
      <c r="L162" s="162"/>
      <c r="M162" s="201"/>
      <c r="N162" s="164"/>
      <c r="O162" s="618">
        <f t="shared" si="14"/>
        <v>360</v>
      </c>
      <c r="P162" s="258" t="e">
        <f t="shared" si="10"/>
        <v>#DIV/0!</v>
      </c>
      <c r="Q162" s="252" t="e">
        <f t="shared" si="11"/>
        <v>#DIV/0!</v>
      </c>
      <c r="R162" s="163"/>
      <c r="S162" s="163"/>
      <c r="T162" s="163"/>
      <c r="U162" s="163"/>
      <c r="V162" s="164"/>
      <c r="W162" s="165"/>
      <c r="X162" s="166"/>
      <c r="Z162" s="156"/>
      <c r="AA162" s="156"/>
    </row>
    <row r="163" spans="1:27" s="155" customFormat="1" ht="15" customHeight="1">
      <c r="A163" s="215"/>
      <c r="B163" s="213" t="s">
        <v>395</v>
      </c>
      <c r="C163" s="488"/>
      <c r="D163" s="201"/>
      <c r="E163" s="201"/>
      <c r="F163" s="201"/>
      <c r="G163" s="201"/>
      <c r="H163" s="201" t="e">
        <f t="shared" si="12"/>
        <v>#DIV/0!</v>
      </c>
      <c r="I163" s="268" t="e">
        <f t="shared" si="13"/>
        <v>#DIV/0!</v>
      </c>
      <c r="J163" s="234"/>
      <c r="K163" s="337"/>
      <c r="L163" s="162"/>
      <c r="M163" s="201"/>
      <c r="N163" s="164"/>
      <c r="O163" s="618">
        <f t="shared" si="14"/>
        <v>360</v>
      </c>
      <c r="P163" s="258" t="e">
        <f t="shared" si="10"/>
        <v>#DIV/0!</v>
      </c>
      <c r="Q163" s="252" t="e">
        <f t="shared" si="11"/>
        <v>#DIV/0!</v>
      </c>
      <c r="R163" s="163"/>
      <c r="S163" s="163"/>
      <c r="T163" s="163"/>
      <c r="U163" s="163"/>
      <c r="V163" s="164"/>
      <c r="W163" s="165"/>
      <c r="X163" s="166"/>
      <c r="Z163" s="156"/>
      <c r="AA163" s="156"/>
    </row>
    <row r="164" spans="1:27" s="155" customFormat="1" ht="15" customHeight="1">
      <c r="A164" s="215"/>
      <c r="B164" s="213" t="s">
        <v>396</v>
      </c>
      <c r="C164" s="488"/>
      <c r="D164" s="201"/>
      <c r="E164" s="201"/>
      <c r="F164" s="201"/>
      <c r="G164" s="201"/>
      <c r="H164" s="201" t="e">
        <f t="shared" si="12"/>
        <v>#DIV/0!</v>
      </c>
      <c r="I164" s="268" t="e">
        <f t="shared" si="13"/>
        <v>#DIV/0!</v>
      </c>
      <c r="J164" s="234"/>
      <c r="K164" s="337"/>
      <c r="L164" s="162"/>
      <c r="M164" s="201"/>
      <c r="N164" s="164"/>
      <c r="O164" s="618">
        <f t="shared" si="14"/>
        <v>360</v>
      </c>
      <c r="P164" s="258" t="e">
        <f t="shared" si="10"/>
        <v>#DIV/0!</v>
      </c>
      <c r="Q164" s="252" t="e">
        <f t="shared" si="11"/>
        <v>#DIV/0!</v>
      </c>
      <c r="R164" s="163"/>
      <c r="S164" s="163"/>
      <c r="T164" s="163"/>
      <c r="U164" s="163"/>
      <c r="V164" s="164"/>
      <c r="W164" s="165"/>
      <c r="X164" s="166"/>
      <c r="Z164" s="156"/>
      <c r="AA164" s="156"/>
    </row>
    <row r="165" spans="1:27" s="155" customFormat="1" ht="15" customHeight="1">
      <c r="A165" s="215"/>
      <c r="B165" s="213" t="s">
        <v>397</v>
      </c>
      <c r="C165" s="488"/>
      <c r="D165" s="201"/>
      <c r="E165" s="201"/>
      <c r="F165" s="201"/>
      <c r="G165" s="201"/>
      <c r="H165" s="201" t="e">
        <f t="shared" si="12"/>
        <v>#DIV/0!</v>
      </c>
      <c r="I165" s="268" t="e">
        <f t="shared" si="13"/>
        <v>#DIV/0!</v>
      </c>
      <c r="J165" s="234"/>
      <c r="K165" s="337"/>
      <c r="L165" s="162"/>
      <c r="M165" s="201"/>
      <c r="N165" s="164"/>
      <c r="O165" s="618">
        <f t="shared" si="14"/>
        <v>360</v>
      </c>
      <c r="P165" s="258" t="e">
        <f t="shared" si="10"/>
        <v>#DIV/0!</v>
      </c>
      <c r="Q165" s="252" t="e">
        <f t="shared" si="11"/>
        <v>#DIV/0!</v>
      </c>
      <c r="R165" s="163"/>
      <c r="S165" s="163"/>
      <c r="T165" s="163"/>
      <c r="U165" s="163"/>
      <c r="V165" s="164"/>
      <c r="W165" s="165"/>
      <c r="X165" s="166"/>
      <c r="Z165" s="156"/>
      <c r="AA165" s="156"/>
    </row>
    <row r="166" spans="1:27" s="155" customFormat="1" ht="15" customHeight="1">
      <c r="A166" s="215"/>
      <c r="B166" s="213" t="s">
        <v>398</v>
      </c>
      <c r="C166" s="488"/>
      <c r="D166" s="201"/>
      <c r="E166" s="201"/>
      <c r="F166" s="201"/>
      <c r="G166" s="201"/>
      <c r="H166" s="201" t="e">
        <f t="shared" si="12"/>
        <v>#DIV/0!</v>
      </c>
      <c r="I166" s="268" t="e">
        <f t="shared" si="13"/>
        <v>#DIV/0!</v>
      </c>
      <c r="J166" s="234"/>
      <c r="K166" s="337"/>
      <c r="L166" s="162"/>
      <c r="M166" s="201"/>
      <c r="N166" s="164"/>
      <c r="O166" s="618">
        <f t="shared" si="14"/>
        <v>360</v>
      </c>
      <c r="P166" s="258" t="e">
        <f t="shared" si="10"/>
        <v>#DIV/0!</v>
      </c>
      <c r="Q166" s="252" t="e">
        <f t="shared" si="11"/>
        <v>#DIV/0!</v>
      </c>
      <c r="R166" s="163"/>
      <c r="S166" s="163"/>
      <c r="T166" s="163"/>
      <c r="U166" s="163"/>
      <c r="V166" s="164"/>
      <c r="W166" s="165"/>
      <c r="X166" s="166"/>
      <c r="Z166" s="156"/>
      <c r="AA166" s="156"/>
    </row>
    <row r="167" spans="1:27" s="155" customFormat="1" ht="15" customHeight="1">
      <c r="A167" s="215"/>
      <c r="B167" s="213" t="s">
        <v>399</v>
      </c>
      <c r="C167" s="488"/>
      <c r="D167" s="201"/>
      <c r="E167" s="201"/>
      <c r="F167" s="201"/>
      <c r="G167" s="201"/>
      <c r="H167" s="201" t="e">
        <f t="shared" si="12"/>
        <v>#DIV/0!</v>
      </c>
      <c r="I167" s="268" t="e">
        <f t="shared" si="13"/>
        <v>#DIV/0!</v>
      </c>
      <c r="J167" s="234"/>
      <c r="K167" s="337"/>
      <c r="L167" s="162"/>
      <c r="M167" s="201"/>
      <c r="N167" s="164"/>
      <c r="O167" s="618">
        <f t="shared" si="14"/>
        <v>360</v>
      </c>
      <c r="P167" s="258" t="e">
        <f t="shared" si="10"/>
        <v>#DIV/0!</v>
      </c>
      <c r="Q167" s="252" t="e">
        <f t="shared" si="11"/>
        <v>#DIV/0!</v>
      </c>
      <c r="R167" s="163"/>
      <c r="S167" s="163"/>
      <c r="T167" s="163"/>
      <c r="U167" s="163"/>
      <c r="V167" s="164"/>
      <c r="W167" s="165"/>
      <c r="X167" s="166"/>
      <c r="Z167" s="156"/>
      <c r="AA167" s="156"/>
    </row>
    <row r="168" spans="1:27" s="155" customFormat="1" ht="15" customHeight="1">
      <c r="A168" s="215"/>
      <c r="B168" s="213" t="s">
        <v>400</v>
      </c>
      <c r="C168" s="488"/>
      <c r="D168" s="201"/>
      <c r="E168" s="201"/>
      <c r="F168" s="201"/>
      <c r="G168" s="201"/>
      <c r="H168" s="201" t="e">
        <f t="shared" si="12"/>
        <v>#DIV/0!</v>
      </c>
      <c r="I168" s="268" t="e">
        <f t="shared" si="13"/>
        <v>#DIV/0!</v>
      </c>
      <c r="J168" s="234"/>
      <c r="K168" s="337"/>
      <c r="L168" s="162"/>
      <c r="M168" s="201"/>
      <c r="N168" s="164"/>
      <c r="O168" s="618">
        <f t="shared" si="14"/>
        <v>360</v>
      </c>
      <c r="P168" s="258" t="e">
        <f t="shared" si="10"/>
        <v>#DIV/0!</v>
      </c>
      <c r="Q168" s="252" t="e">
        <f t="shared" si="11"/>
        <v>#DIV/0!</v>
      </c>
      <c r="R168" s="163"/>
      <c r="S168" s="163"/>
      <c r="T168" s="163"/>
      <c r="U168" s="163"/>
      <c r="V168" s="164"/>
      <c r="W168" s="165"/>
      <c r="X168" s="166"/>
      <c r="Z168" s="156"/>
      <c r="AA168" s="156"/>
    </row>
    <row r="169" spans="1:27" s="155" customFormat="1" ht="15" customHeight="1">
      <c r="A169" s="215"/>
      <c r="B169" s="213" t="s">
        <v>401</v>
      </c>
      <c r="C169" s="488"/>
      <c r="D169" s="201"/>
      <c r="E169" s="201"/>
      <c r="F169" s="201"/>
      <c r="G169" s="201"/>
      <c r="H169" s="201" t="e">
        <f t="shared" si="12"/>
        <v>#DIV/0!</v>
      </c>
      <c r="I169" s="268" t="e">
        <f t="shared" si="13"/>
        <v>#DIV/0!</v>
      </c>
      <c r="J169" s="234"/>
      <c r="K169" s="337"/>
      <c r="L169" s="162"/>
      <c r="M169" s="201"/>
      <c r="N169" s="164"/>
      <c r="O169" s="618">
        <f t="shared" si="14"/>
        <v>360</v>
      </c>
      <c r="P169" s="258" t="e">
        <f t="shared" si="10"/>
        <v>#DIV/0!</v>
      </c>
      <c r="Q169" s="252" t="e">
        <f t="shared" si="11"/>
        <v>#DIV/0!</v>
      </c>
      <c r="R169" s="163"/>
      <c r="S169" s="163"/>
      <c r="T169" s="163"/>
      <c r="U169" s="163"/>
      <c r="V169" s="164"/>
      <c r="W169" s="165"/>
      <c r="X169" s="166"/>
      <c r="Z169" s="156"/>
      <c r="AA169" s="156"/>
    </row>
    <row r="170" spans="1:27" s="155" customFormat="1" ht="15" customHeight="1">
      <c r="A170" s="215"/>
      <c r="B170" s="213" t="s">
        <v>402</v>
      </c>
      <c r="C170" s="488"/>
      <c r="D170" s="201"/>
      <c r="E170" s="201"/>
      <c r="F170" s="201"/>
      <c r="G170" s="201"/>
      <c r="H170" s="201" t="e">
        <f t="shared" si="12"/>
        <v>#DIV/0!</v>
      </c>
      <c r="I170" s="268" t="e">
        <f t="shared" si="13"/>
        <v>#DIV/0!</v>
      </c>
      <c r="J170" s="234"/>
      <c r="K170" s="337"/>
      <c r="L170" s="162"/>
      <c r="M170" s="201"/>
      <c r="N170" s="164"/>
      <c r="O170" s="618">
        <f t="shared" si="14"/>
        <v>360</v>
      </c>
      <c r="P170" s="258" t="e">
        <f t="shared" si="10"/>
        <v>#DIV/0!</v>
      </c>
      <c r="Q170" s="252" t="e">
        <f t="shared" si="11"/>
        <v>#DIV/0!</v>
      </c>
      <c r="R170" s="163"/>
      <c r="S170" s="163"/>
      <c r="T170" s="163"/>
      <c r="U170" s="163"/>
      <c r="V170" s="164"/>
      <c r="W170" s="165"/>
      <c r="X170" s="166"/>
      <c r="Z170" s="156"/>
      <c r="AA170" s="156"/>
    </row>
    <row r="171" spans="1:27" s="155" customFormat="1" ht="15" customHeight="1">
      <c r="A171" s="215"/>
      <c r="B171" s="213" t="s">
        <v>403</v>
      </c>
      <c r="C171" s="488"/>
      <c r="D171" s="201"/>
      <c r="E171" s="201"/>
      <c r="F171" s="201"/>
      <c r="G171" s="201"/>
      <c r="H171" s="201" t="e">
        <f t="shared" si="12"/>
        <v>#DIV/0!</v>
      </c>
      <c r="I171" s="268" t="e">
        <f t="shared" si="13"/>
        <v>#DIV/0!</v>
      </c>
      <c r="J171" s="234"/>
      <c r="K171" s="337"/>
      <c r="L171" s="162"/>
      <c r="M171" s="201"/>
      <c r="N171" s="164"/>
      <c r="O171" s="618">
        <f t="shared" si="14"/>
        <v>360</v>
      </c>
      <c r="P171" s="258" t="e">
        <f t="shared" si="10"/>
        <v>#DIV/0!</v>
      </c>
      <c r="Q171" s="252" t="e">
        <f t="shared" si="11"/>
        <v>#DIV/0!</v>
      </c>
      <c r="R171" s="163"/>
      <c r="S171" s="163"/>
      <c r="T171" s="163"/>
      <c r="U171" s="163"/>
      <c r="V171" s="164"/>
      <c r="W171" s="165"/>
      <c r="X171" s="166"/>
      <c r="Z171" s="156"/>
      <c r="AA171" s="156"/>
    </row>
    <row r="172" spans="1:27" s="155" customFormat="1" ht="15" customHeight="1">
      <c r="A172" s="215"/>
      <c r="B172" s="213" t="s">
        <v>404</v>
      </c>
      <c r="C172" s="488"/>
      <c r="D172" s="201"/>
      <c r="E172" s="201"/>
      <c r="F172" s="201"/>
      <c r="G172" s="201"/>
      <c r="H172" s="201" t="e">
        <f t="shared" si="12"/>
        <v>#DIV/0!</v>
      </c>
      <c r="I172" s="268" t="e">
        <f t="shared" si="13"/>
        <v>#DIV/0!</v>
      </c>
      <c r="J172" s="234"/>
      <c r="K172" s="337"/>
      <c r="L172" s="162"/>
      <c r="M172" s="201"/>
      <c r="N172" s="164"/>
      <c r="O172" s="618">
        <f t="shared" si="14"/>
        <v>360</v>
      </c>
      <c r="P172" s="258" t="e">
        <f t="shared" si="10"/>
        <v>#DIV/0!</v>
      </c>
      <c r="Q172" s="252" t="e">
        <f t="shared" si="11"/>
        <v>#DIV/0!</v>
      </c>
      <c r="R172" s="163"/>
      <c r="S172" s="163"/>
      <c r="T172" s="163"/>
      <c r="U172" s="163"/>
      <c r="V172" s="164"/>
      <c r="W172" s="165"/>
      <c r="X172" s="166"/>
      <c r="Z172" s="156"/>
      <c r="AA172" s="156"/>
    </row>
    <row r="173" spans="1:27" s="155" customFormat="1" ht="15" customHeight="1">
      <c r="A173" s="215"/>
      <c r="B173" s="213" t="s">
        <v>405</v>
      </c>
      <c r="C173" s="488"/>
      <c r="D173" s="201"/>
      <c r="E173" s="201"/>
      <c r="F173" s="201"/>
      <c r="G173" s="201"/>
      <c r="H173" s="201" t="e">
        <f t="shared" si="12"/>
        <v>#DIV/0!</v>
      </c>
      <c r="I173" s="268" t="e">
        <f t="shared" si="13"/>
        <v>#DIV/0!</v>
      </c>
      <c r="J173" s="234"/>
      <c r="K173" s="337"/>
      <c r="L173" s="162"/>
      <c r="M173" s="201"/>
      <c r="N173" s="164"/>
      <c r="O173" s="618">
        <f t="shared" si="14"/>
        <v>360</v>
      </c>
      <c r="P173" s="258" t="e">
        <f t="shared" si="10"/>
        <v>#DIV/0!</v>
      </c>
      <c r="Q173" s="252" t="e">
        <f t="shared" si="11"/>
        <v>#DIV/0!</v>
      </c>
      <c r="R173" s="163"/>
      <c r="S173" s="163"/>
      <c r="T173" s="163"/>
      <c r="U173" s="163"/>
      <c r="V173" s="164"/>
      <c r="W173" s="165"/>
      <c r="X173" s="166"/>
      <c r="Z173" s="156"/>
      <c r="AA173" s="156"/>
    </row>
    <row r="174" spans="1:27" s="155" customFormat="1" ht="15" customHeight="1">
      <c r="A174" s="215"/>
      <c r="B174" s="213" t="s">
        <v>406</v>
      </c>
      <c r="C174" s="488"/>
      <c r="D174" s="201"/>
      <c r="E174" s="201"/>
      <c r="F174" s="201"/>
      <c r="G174" s="201"/>
      <c r="H174" s="201" t="e">
        <f t="shared" si="12"/>
        <v>#DIV/0!</v>
      </c>
      <c r="I174" s="268" t="e">
        <f t="shared" si="13"/>
        <v>#DIV/0!</v>
      </c>
      <c r="J174" s="234"/>
      <c r="K174" s="337"/>
      <c r="L174" s="162"/>
      <c r="M174" s="201"/>
      <c r="N174" s="164"/>
      <c r="O174" s="618">
        <f t="shared" si="14"/>
        <v>360</v>
      </c>
      <c r="P174" s="258" t="e">
        <f t="shared" si="10"/>
        <v>#DIV/0!</v>
      </c>
      <c r="Q174" s="252" t="e">
        <f t="shared" si="11"/>
        <v>#DIV/0!</v>
      </c>
      <c r="R174" s="163"/>
      <c r="S174" s="163"/>
      <c r="T174" s="163"/>
      <c r="U174" s="163"/>
      <c r="V174" s="164"/>
      <c r="W174" s="165"/>
      <c r="X174" s="166"/>
      <c r="Z174" s="156"/>
      <c r="AA174" s="156"/>
    </row>
    <row r="175" spans="1:27" s="155" customFormat="1" ht="15" customHeight="1">
      <c r="A175" s="215"/>
      <c r="B175" s="213" t="s">
        <v>407</v>
      </c>
      <c r="C175" s="488"/>
      <c r="D175" s="201"/>
      <c r="E175" s="201"/>
      <c r="F175" s="201"/>
      <c r="G175" s="201"/>
      <c r="H175" s="201" t="e">
        <f t="shared" si="12"/>
        <v>#DIV/0!</v>
      </c>
      <c r="I175" s="268" t="e">
        <f t="shared" si="13"/>
        <v>#DIV/0!</v>
      </c>
      <c r="J175" s="234"/>
      <c r="K175" s="337"/>
      <c r="L175" s="162"/>
      <c r="M175" s="201"/>
      <c r="N175" s="164"/>
      <c r="O175" s="618">
        <f t="shared" si="14"/>
        <v>360</v>
      </c>
      <c r="P175" s="258" t="e">
        <f t="shared" si="10"/>
        <v>#DIV/0!</v>
      </c>
      <c r="Q175" s="252" t="e">
        <f t="shared" si="11"/>
        <v>#DIV/0!</v>
      </c>
      <c r="R175" s="163"/>
      <c r="S175" s="163"/>
      <c r="T175" s="163"/>
      <c r="U175" s="163"/>
      <c r="V175" s="164"/>
      <c r="W175" s="165"/>
      <c r="X175" s="166"/>
      <c r="Z175" s="156"/>
      <c r="AA175" s="156"/>
    </row>
    <row r="176" spans="1:27" s="155" customFormat="1" ht="15" customHeight="1">
      <c r="A176" s="215"/>
      <c r="B176" s="213" t="s">
        <v>408</v>
      </c>
      <c r="C176" s="488"/>
      <c r="D176" s="201"/>
      <c r="E176" s="201"/>
      <c r="F176" s="201"/>
      <c r="G176" s="201"/>
      <c r="H176" s="201" t="e">
        <f t="shared" si="12"/>
        <v>#DIV/0!</v>
      </c>
      <c r="I176" s="268" t="e">
        <f t="shared" si="13"/>
        <v>#DIV/0!</v>
      </c>
      <c r="J176" s="234"/>
      <c r="K176" s="337"/>
      <c r="L176" s="162"/>
      <c r="M176" s="201"/>
      <c r="N176" s="164"/>
      <c r="O176" s="618">
        <f t="shared" si="14"/>
        <v>360</v>
      </c>
      <c r="P176" s="258" t="e">
        <f t="shared" si="10"/>
        <v>#DIV/0!</v>
      </c>
      <c r="Q176" s="252" t="e">
        <f t="shared" si="11"/>
        <v>#DIV/0!</v>
      </c>
      <c r="R176" s="163"/>
      <c r="S176" s="163"/>
      <c r="T176" s="163"/>
      <c r="U176" s="163"/>
      <c r="V176" s="164"/>
      <c r="W176" s="165"/>
      <c r="X176" s="166"/>
      <c r="Z176" s="156"/>
      <c r="AA176" s="156"/>
    </row>
    <row r="177" spans="1:27" s="155" customFormat="1" ht="15" customHeight="1">
      <c r="A177" s="215"/>
      <c r="B177" s="213" t="s">
        <v>409</v>
      </c>
      <c r="C177" s="488"/>
      <c r="D177" s="201"/>
      <c r="E177" s="201"/>
      <c r="F177" s="201"/>
      <c r="G177" s="201"/>
      <c r="H177" s="201" t="e">
        <f t="shared" si="12"/>
        <v>#DIV/0!</v>
      </c>
      <c r="I177" s="268" t="e">
        <f t="shared" si="13"/>
        <v>#DIV/0!</v>
      </c>
      <c r="J177" s="234"/>
      <c r="K177" s="337"/>
      <c r="L177" s="162"/>
      <c r="M177" s="201"/>
      <c r="N177" s="164"/>
      <c r="O177" s="618">
        <f t="shared" si="14"/>
        <v>360</v>
      </c>
      <c r="P177" s="258" t="e">
        <f t="shared" si="10"/>
        <v>#DIV/0!</v>
      </c>
      <c r="Q177" s="252" t="e">
        <f t="shared" si="11"/>
        <v>#DIV/0!</v>
      </c>
      <c r="R177" s="163"/>
      <c r="S177" s="163"/>
      <c r="T177" s="163"/>
      <c r="U177" s="163"/>
      <c r="V177" s="164"/>
      <c r="W177" s="165"/>
      <c r="X177" s="166"/>
      <c r="Z177" s="156"/>
      <c r="AA177" s="156"/>
    </row>
    <row r="178" spans="1:27" s="155" customFormat="1" ht="15" customHeight="1">
      <c r="A178" s="215"/>
      <c r="B178" s="213" t="s">
        <v>410</v>
      </c>
      <c r="C178" s="488"/>
      <c r="D178" s="201"/>
      <c r="E178" s="201"/>
      <c r="F178" s="201"/>
      <c r="G178" s="201"/>
      <c r="H178" s="201" t="e">
        <f t="shared" si="12"/>
        <v>#DIV/0!</v>
      </c>
      <c r="I178" s="268" t="e">
        <f t="shared" si="13"/>
        <v>#DIV/0!</v>
      </c>
      <c r="J178" s="234"/>
      <c r="K178" s="337"/>
      <c r="L178" s="162"/>
      <c r="M178" s="201"/>
      <c r="N178" s="164"/>
      <c r="O178" s="618">
        <f t="shared" si="14"/>
        <v>360</v>
      </c>
      <c r="P178" s="258" t="e">
        <f t="shared" si="10"/>
        <v>#DIV/0!</v>
      </c>
      <c r="Q178" s="252" t="e">
        <f t="shared" si="11"/>
        <v>#DIV/0!</v>
      </c>
      <c r="R178" s="163"/>
      <c r="S178" s="163"/>
      <c r="T178" s="163"/>
      <c r="U178" s="163"/>
      <c r="V178" s="164"/>
      <c r="W178" s="165"/>
      <c r="X178" s="166"/>
      <c r="Z178" s="156"/>
      <c r="AA178" s="156"/>
    </row>
    <row r="179" spans="1:27" s="155" customFormat="1" ht="15" customHeight="1">
      <c r="A179" s="215"/>
      <c r="B179" s="213" t="s">
        <v>411</v>
      </c>
      <c r="C179" s="488"/>
      <c r="D179" s="201"/>
      <c r="E179" s="201"/>
      <c r="F179" s="201"/>
      <c r="G179" s="201"/>
      <c r="H179" s="201" t="e">
        <f t="shared" si="12"/>
        <v>#DIV/0!</v>
      </c>
      <c r="I179" s="268" t="e">
        <f t="shared" si="13"/>
        <v>#DIV/0!</v>
      </c>
      <c r="J179" s="234"/>
      <c r="K179" s="337"/>
      <c r="L179" s="162"/>
      <c r="M179" s="201"/>
      <c r="N179" s="164"/>
      <c r="O179" s="618">
        <f t="shared" si="14"/>
        <v>360</v>
      </c>
      <c r="P179" s="258" t="e">
        <f t="shared" si="10"/>
        <v>#DIV/0!</v>
      </c>
      <c r="Q179" s="252" t="e">
        <f t="shared" si="11"/>
        <v>#DIV/0!</v>
      </c>
      <c r="R179" s="163"/>
      <c r="S179" s="163"/>
      <c r="T179" s="163"/>
      <c r="U179" s="163"/>
      <c r="V179" s="164"/>
      <c r="W179" s="165"/>
      <c r="X179" s="166"/>
      <c r="Z179" s="156"/>
      <c r="AA179" s="156"/>
    </row>
    <row r="180" spans="1:27" s="155" customFormat="1" ht="15" customHeight="1">
      <c r="A180" s="215"/>
      <c r="B180" s="213" t="s">
        <v>412</v>
      </c>
      <c r="C180" s="488"/>
      <c r="D180" s="201"/>
      <c r="E180" s="201"/>
      <c r="F180" s="201"/>
      <c r="G180" s="201"/>
      <c r="H180" s="201" t="e">
        <f t="shared" si="12"/>
        <v>#DIV/0!</v>
      </c>
      <c r="I180" s="268" t="e">
        <f t="shared" si="13"/>
        <v>#DIV/0!</v>
      </c>
      <c r="J180" s="234"/>
      <c r="K180" s="337"/>
      <c r="L180" s="162"/>
      <c r="M180" s="201"/>
      <c r="N180" s="164"/>
      <c r="O180" s="618">
        <f t="shared" si="14"/>
        <v>360</v>
      </c>
      <c r="P180" s="258" t="e">
        <f t="shared" si="10"/>
        <v>#DIV/0!</v>
      </c>
      <c r="Q180" s="252" t="e">
        <f t="shared" si="11"/>
        <v>#DIV/0!</v>
      </c>
      <c r="R180" s="163"/>
      <c r="S180" s="163"/>
      <c r="T180" s="163"/>
      <c r="U180" s="163"/>
      <c r="V180" s="164"/>
      <c r="W180" s="165"/>
      <c r="X180" s="166"/>
      <c r="Z180" s="156"/>
      <c r="AA180" s="156"/>
    </row>
    <row r="181" spans="1:27" s="155" customFormat="1" ht="15" customHeight="1">
      <c r="A181" s="215"/>
      <c r="B181" s="213" t="s">
        <v>413</v>
      </c>
      <c r="C181" s="488"/>
      <c r="D181" s="201"/>
      <c r="E181" s="201"/>
      <c r="F181" s="201"/>
      <c r="G181" s="201"/>
      <c r="H181" s="201" t="e">
        <f t="shared" si="12"/>
        <v>#DIV/0!</v>
      </c>
      <c r="I181" s="268" t="e">
        <f t="shared" si="13"/>
        <v>#DIV/0!</v>
      </c>
      <c r="J181" s="234"/>
      <c r="K181" s="337"/>
      <c r="L181" s="162"/>
      <c r="M181" s="201"/>
      <c r="N181" s="164"/>
      <c r="O181" s="618">
        <f t="shared" si="14"/>
        <v>360</v>
      </c>
      <c r="P181" s="258" t="e">
        <f t="shared" si="10"/>
        <v>#DIV/0!</v>
      </c>
      <c r="Q181" s="252" t="e">
        <f t="shared" si="11"/>
        <v>#DIV/0!</v>
      </c>
      <c r="R181" s="163"/>
      <c r="S181" s="163"/>
      <c r="T181" s="163"/>
      <c r="U181" s="163"/>
      <c r="V181" s="164"/>
      <c r="W181" s="165"/>
      <c r="X181" s="166"/>
      <c r="Z181" s="156"/>
      <c r="AA181" s="156"/>
    </row>
    <row r="182" spans="1:27" s="155" customFormat="1" ht="15" customHeight="1">
      <c r="A182" s="215"/>
      <c r="B182" s="213" t="s">
        <v>414</v>
      </c>
      <c r="C182" s="488"/>
      <c r="D182" s="201"/>
      <c r="E182" s="201"/>
      <c r="F182" s="201"/>
      <c r="G182" s="201"/>
      <c r="H182" s="201" t="e">
        <f t="shared" si="12"/>
        <v>#DIV/0!</v>
      </c>
      <c r="I182" s="268" t="e">
        <f t="shared" si="13"/>
        <v>#DIV/0!</v>
      </c>
      <c r="J182" s="234"/>
      <c r="K182" s="337"/>
      <c r="L182" s="162"/>
      <c r="M182" s="201"/>
      <c r="N182" s="164"/>
      <c r="O182" s="618">
        <f t="shared" si="14"/>
        <v>360</v>
      </c>
      <c r="P182" s="258" t="e">
        <f t="shared" si="10"/>
        <v>#DIV/0!</v>
      </c>
      <c r="Q182" s="252" t="e">
        <f t="shared" si="11"/>
        <v>#DIV/0!</v>
      </c>
      <c r="R182" s="163"/>
      <c r="S182" s="163"/>
      <c r="T182" s="163"/>
      <c r="U182" s="163"/>
      <c r="V182" s="164"/>
      <c r="W182" s="165"/>
      <c r="X182" s="166"/>
      <c r="Z182" s="156"/>
      <c r="AA182" s="156"/>
    </row>
    <row r="183" spans="1:27" s="155" customFormat="1" ht="15" customHeight="1">
      <c r="A183" s="215"/>
      <c r="B183" s="213" t="s">
        <v>415</v>
      </c>
      <c r="C183" s="488"/>
      <c r="D183" s="201"/>
      <c r="E183" s="201"/>
      <c r="F183" s="201"/>
      <c r="G183" s="201"/>
      <c r="H183" s="201" t="e">
        <f t="shared" si="12"/>
        <v>#DIV/0!</v>
      </c>
      <c r="I183" s="268" t="e">
        <f t="shared" si="13"/>
        <v>#DIV/0!</v>
      </c>
      <c r="J183" s="234"/>
      <c r="K183" s="337"/>
      <c r="L183" s="162"/>
      <c r="M183" s="201"/>
      <c r="N183" s="164"/>
      <c r="O183" s="618">
        <f t="shared" si="14"/>
        <v>360</v>
      </c>
      <c r="P183" s="258" t="e">
        <f t="shared" si="10"/>
        <v>#DIV/0!</v>
      </c>
      <c r="Q183" s="252" t="e">
        <f t="shared" si="11"/>
        <v>#DIV/0!</v>
      </c>
      <c r="R183" s="163"/>
      <c r="S183" s="163"/>
      <c r="T183" s="163"/>
      <c r="U183" s="163"/>
      <c r="V183" s="164"/>
      <c r="W183" s="165"/>
      <c r="X183" s="166"/>
      <c r="Z183" s="156"/>
      <c r="AA183" s="156"/>
    </row>
    <row r="184" spans="1:27" s="155" customFormat="1" ht="15" customHeight="1">
      <c r="A184" s="215"/>
      <c r="B184" s="213" t="s">
        <v>416</v>
      </c>
      <c r="C184" s="488"/>
      <c r="D184" s="201"/>
      <c r="E184" s="201"/>
      <c r="F184" s="201"/>
      <c r="G184" s="201"/>
      <c r="H184" s="201" t="e">
        <f t="shared" si="12"/>
        <v>#DIV/0!</v>
      </c>
      <c r="I184" s="268" t="e">
        <f t="shared" si="13"/>
        <v>#DIV/0!</v>
      </c>
      <c r="J184" s="234"/>
      <c r="K184" s="337"/>
      <c r="L184" s="162"/>
      <c r="M184" s="201"/>
      <c r="N184" s="164"/>
      <c r="O184" s="618">
        <f t="shared" si="14"/>
        <v>360</v>
      </c>
      <c r="P184" s="258" t="e">
        <f t="shared" si="10"/>
        <v>#DIV/0!</v>
      </c>
      <c r="Q184" s="252" t="e">
        <f t="shared" si="11"/>
        <v>#DIV/0!</v>
      </c>
      <c r="R184" s="163"/>
      <c r="S184" s="163"/>
      <c r="T184" s="163"/>
      <c r="U184" s="163"/>
      <c r="V184" s="164"/>
      <c r="W184" s="165"/>
      <c r="X184" s="166"/>
      <c r="Z184" s="156"/>
      <c r="AA184" s="156"/>
    </row>
    <row r="185" spans="1:27" s="155" customFormat="1" ht="15" customHeight="1">
      <c r="A185" s="215"/>
      <c r="B185" s="213" t="s">
        <v>417</v>
      </c>
      <c r="C185" s="488"/>
      <c r="D185" s="201"/>
      <c r="E185" s="201"/>
      <c r="F185" s="201"/>
      <c r="G185" s="201"/>
      <c r="H185" s="201" t="e">
        <f t="shared" si="12"/>
        <v>#DIV/0!</v>
      </c>
      <c r="I185" s="268" t="e">
        <f t="shared" si="13"/>
        <v>#DIV/0!</v>
      </c>
      <c r="J185" s="234"/>
      <c r="K185" s="337"/>
      <c r="L185" s="162"/>
      <c r="M185" s="201"/>
      <c r="N185" s="164"/>
      <c r="O185" s="618">
        <f t="shared" si="14"/>
        <v>360</v>
      </c>
      <c r="P185" s="258" t="e">
        <f t="shared" si="10"/>
        <v>#DIV/0!</v>
      </c>
      <c r="Q185" s="252" t="e">
        <f t="shared" si="11"/>
        <v>#DIV/0!</v>
      </c>
      <c r="R185" s="163"/>
      <c r="S185" s="163"/>
      <c r="T185" s="163"/>
      <c r="U185" s="163"/>
      <c r="V185" s="164"/>
      <c r="W185" s="165"/>
      <c r="X185" s="166"/>
      <c r="Z185" s="156"/>
      <c r="AA185" s="156"/>
    </row>
    <row r="186" spans="1:27" s="155" customFormat="1" ht="15" customHeight="1">
      <c r="A186" s="215"/>
      <c r="B186" s="213" t="s">
        <v>418</v>
      </c>
      <c r="C186" s="488"/>
      <c r="D186" s="201"/>
      <c r="E186" s="201"/>
      <c r="F186" s="201"/>
      <c r="G186" s="201"/>
      <c r="H186" s="201" t="e">
        <f t="shared" si="12"/>
        <v>#DIV/0!</v>
      </c>
      <c r="I186" s="268" t="e">
        <f t="shared" si="13"/>
        <v>#DIV/0!</v>
      </c>
      <c r="J186" s="234"/>
      <c r="K186" s="337"/>
      <c r="L186" s="162"/>
      <c r="M186" s="201"/>
      <c r="N186" s="164"/>
      <c r="O186" s="618">
        <f t="shared" si="14"/>
        <v>360</v>
      </c>
      <c r="P186" s="258" t="e">
        <f t="shared" si="10"/>
        <v>#DIV/0!</v>
      </c>
      <c r="Q186" s="252" t="e">
        <f t="shared" si="11"/>
        <v>#DIV/0!</v>
      </c>
      <c r="R186" s="163"/>
      <c r="S186" s="163"/>
      <c r="T186" s="163"/>
      <c r="U186" s="163"/>
      <c r="V186" s="164"/>
      <c r="W186" s="165"/>
      <c r="X186" s="166"/>
      <c r="Z186" s="156"/>
      <c r="AA186" s="156"/>
    </row>
    <row r="187" spans="1:27" s="155" customFormat="1" ht="15" customHeight="1">
      <c r="A187" s="215"/>
      <c r="B187" s="213" t="s">
        <v>419</v>
      </c>
      <c r="C187" s="488"/>
      <c r="D187" s="201"/>
      <c r="E187" s="201"/>
      <c r="F187" s="201"/>
      <c r="G187" s="201"/>
      <c r="H187" s="201" t="e">
        <f t="shared" si="12"/>
        <v>#DIV/0!</v>
      </c>
      <c r="I187" s="268" t="e">
        <f t="shared" si="13"/>
        <v>#DIV/0!</v>
      </c>
      <c r="J187" s="234"/>
      <c r="K187" s="337"/>
      <c r="L187" s="162"/>
      <c r="M187" s="201"/>
      <c r="N187" s="164"/>
      <c r="O187" s="618">
        <f t="shared" si="14"/>
        <v>360</v>
      </c>
      <c r="P187" s="258" t="e">
        <f t="shared" si="10"/>
        <v>#DIV/0!</v>
      </c>
      <c r="Q187" s="252" t="e">
        <f t="shared" si="11"/>
        <v>#DIV/0!</v>
      </c>
      <c r="R187" s="163"/>
      <c r="S187" s="163"/>
      <c r="T187" s="163"/>
      <c r="U187" s="163"/>
      <c r="V187" s="164"/>
      <c r="W187" s="165"/>
      <c r="X187" s="166"/>
      <c r="Z187" s="156"/>
      <c r="AA187" s="156"/>
    </row>
    <row r="188" spans="1:27" s="155" customFormat="1" ht="15" customHeight="1">
      <c r="A188" s="215"/>
      <c r="B188" s="213" t="s">
        <v>420</v>
      </c>
      <c r="C188" s="488"/>
      <c r="D188" s="201"/>
      <c r="E188" s="201"/>
      <c r="F188" s="201"/>
      <c r="G188" s="201"/>
      <c r="H188" s="201" t="e">
        <f t="shared" si="12"/>
        <v>#DIV/0!</v>
      </c>
      <c r="I188" s="268" t="e">
        <f t="shared" si="13"/>
        <v>#DIV/0!</v>
      </c>
      <c r="J188" s="234"/>
      <c r="K188" s="337"/>
      <c r="L188" s="162"/>
      <c r="M188" s="201"/>
      <c r="N188" s="164"/>
      <c r="O188" s="618">
        <f t="shared" si="14"/>
        <v>360</v>
      </c>
      <c r="P188" s="258" t="e">
        <f t="shared" si="10"/>
        <v>#DIV/0!</v>
      </c>
      <c r="Q188" s="252" t="e">
        <f t="shared" si="11"/>
        <v>#DIV/0!</v>
      </c>
      <c r="R188" s="163"/>
      <c r="S188" s="163"/>
      <c r="T188" s="163"/>
      <c r="U188" s="163"/>
      <c r="V188" s="164"/>
      <c r="W188" s="165"/>
      <c r="X188" s="166"/>
      <c r="Z188" s="156"/>
      <c r="AA188" s="156"/>
    </row>
    <row r="189" spans="1:27" s="155" customFormat="1" ht="15" customHeight="1">
      <c r="A189" s="215"/>
      <c r="B189" s="213" t="s">
        <v>990</v>
      </c>
      <c r="C189" s="488"/>
      <c r="D189" s="201"/>
      <c r="E189" s="201"/>
      <c r="F189" s="201"/>
      <c r="G189" s="201"/>
      <c r="H189" s="201" t="e">
        <f t="shared" si="12"/>
        <v>#DIV/0!</v>
      </c>
      <c r="I189" s="268" t="e">
        <f t="shared" si="13"/>
        <v>#DIV/0!</v>
      </c>
      <c r="J189" s="234"/>
      <c r="K189" s="337"/>
      <c r="L189" s="162"/>
      <c r="M189" s="201"/>
      <c r="N189" s="164"/>
      <c r="O189" s="618">
        <f t="shared" si="14"/>
        <v>360</v>
      </c>
      <c r="P189" s="258" t="e">
        <f t="shared" si="10"/>
        <v>#DIV/0!</v>
      </c>
      <c r="Q189" s="252" t="e">
        <f t="shared" si="11"/>
        <v>#DIV/0!</v>
      </c>
      <c r="R189" s="163"/>
      <c r="S189" s="163"/>
      <c r="T189" s="163"/>
      <c r="U189" s="163"/>
      <c r="V189" s="164"/>
      <c r="W189" s="165"/>
      <c r="X189" s="166"/>
      <c r="Z189" s="156"/>
      <c r="AA189" s="156"/>
    </row>
    <row r="190" spans="1:27" s="155" customFormat="1" ht="15" customHeight="1">
      <c r="A190" s="215"/>
      <c r="B190" s="213" t="s">
        <v>991</v>
      </c>
      <c r="C190" s="488"/>
      <c r="D190" s="201"/>
      <c r="E190" s="201"/>
      <c r="F190" s="201"/>
      <c r="G190" s="201"/>
      <c r="H190" s="201" t="e">
        <f t="shared" si="12"/>
        <v>#DIV/0!</v>
      </c>
      <c r="I190" s="268" t="e">
        <f t="shared" si="13"/>
        <v>#DIV/0!</v>
      </c>
      <c r="J190" s="234"/>
      <c r="K190" s="337"/>
      <c r="L190" s="162"/>
      <c r="M190" s="201"/>
      <c r="N190" s="164"/>
      <c r="O190" s="618">
        <f t="shared" si="14"/>
        <v>360</v>
      </c>
      <c r="P190" s="258" t="e">
        <f t="shared" si="10"/>
        <v>#DIV/0!</v>
      </c>
      <c r="Q190" s="252" t="e">
        <f t="shared" si="11"/>
        <v>#DIV/0!</v>
      </c>
      <c r="R190" s="163"/>
      <c r="S190" s="163"/>
      <c r="T190" s="163"/>
      <c r="U190" s="163"/>
      <c r="V190" s="164"/>
      <c r="W190" s="165"/>
      <c r="X190" s="166"/>
      <c r="Z190" s="156"/>
      <c r="AA190" s="156"/>
    </row>
    <row r="191" spans="1:27" s="155" customFormat="1" ht="15" customHeight="1">
      <c r="A191" s="215"/>
      <c r="B191" s="213" t="s">
        <v>992</v>
      </c>
      <c r="C191" s="488"/>
      <c r="D191" s="201"/>
      <c r="E191" s="201"/>
      <c r="F191" s="201"/>
      <c r="G191" s="201"/>
      <c r="H191" s="201" t="e">
        <f t="shared" si="12"/>
        <v>#DIV/0!</v>
      </c>
      <c r="I191" s="268" t="e">
        <f t="shared" si="13"/>
        <v>#DIV/0!</v>
      </c>
      <c r="J191" s="234"/>
      <c r="K191" s="337"/>
      <c r="L191" s="162"/>
      <c r="M191" s="201"/>
      <c r="N191" s="164"/>
      <c r="O191" s="618">
        <f t="shared" si="14"/>
        <v>360</v>
      </c>
      <c r="P191" s="258" t="e">
        <f t="shared" si="10"/>
        <v>#DIV/0!</v>
      </c>
      <c r="Q191" s="252" t="e">
        <f t="shared" si="11"/>
        <v>#DIV/0!</v>
      </c>
      <c r="R191" s="163"/>
      <c r="S191" s="163"/>
      <c r="T191" s="163"/>
      <c r="U191" s="163"/>
      <c r="V191" s="164"/>
      <c r="W191" s="165"/>
      <c r="X191" s="166"/>
      <c r="Z191" s="156"/>
      <c r="AA191" s="156"/>
    </row>
    <row r="192" spans="1:27" s="155" customFormat="1" ht="15" customHeight="1">
      <c r="A192" s="215"/>
      <c r="B192" s="213" t="s">
        <v>993</v>
      </c>
      <c r="C192" s="488"/>
      <c r="D192" s="201"/>
      <c r="E192" s="201"/>
      <c r="F192" s="201"/>
      <c r="G192" s="201"/>
      <c r="H192" s="201" t="e">
        <f t="shared" si="12"/>
        <v>#DIV/0!</v>
      </c>
      <c r="I192" s="268" t="e">
        <f t="shared" si="13"/>
        <v>#DIV/0!</v>
      </c>
      <c r="J192" s="234"/>
      <c r="K192" s="337"/>
      <c r="L192" s="162"/>
      <c r="M192" s="201"/>
      <c r="N192" s="164"/>
      <c r="O192" s="618">
        <f t="shared" si="14"/>
        <v>360</v>
      </c>
      <c r="P192" s="258" t="e">
        <f t="shared" si="10"/>
        <v>#DIV/0!</v>
      </c>
      <c r="Q192" s="252" t="e">
        <f t="shared" si="11"/>
        <v>#DIV/0!</v>
      </c>
      <c r="R192" s="163"/>
      <c r="S192" s="163"/>
      <c r="T192" s="163"/>
      <c r="U192" s="163"/>
      <c r="V192" s="164"/>
      <c r="W192" s="165"/>
      <c r="X192" s="166"/>
      <c r="Z192" s="156"/>
    </row>
    <row r="193" spans="1:27" s="155" customFormat="1" ht="15" customHeight="1">
      <c r="A193" s="215"/>
      <c r="B193" s="213" t="s">
        <v>994</v>
      </c>
      <c r="C193" s="488"/>
      <c r="D193" s="201"/>
      <c r="E193" s="201"/>
      <c r="F193" s="201"/>
      <c r="G193" s="201"/>
      <c r="H193" s="201" t="e">
        <f t="shared" si="12"/>
        <v>#DIV/0!</v>
      </c>
      <c r="I193" s="268" t="e">
        <f t="shared" si="13"/>
        <v>#DIV/0!</v>
      </c>
      <c r="J193" s="234"/>
      <c r="K193" s="337"/>
      <c r="L193" s="162"/>
      <c r="M193" s="201"/>
      <c r="N193" s="164"/>
      <c r="O193" s="618">
        <f t="shared" si="14"/>
        <v>360</v>
      </c>
      <c r="P193" s="258" t="e">
        <f t="shared" si="10"/>
        <v>#DIV/0!</v>
      </c>
      <c r="Q193" s="252" t="e">
        <f t="shared" si="11"/>
        <v>#DIV/0!</v>
      </c>
      <c r="R193" s="163"/>
      <c r="S193" s="163"/>
      <c r="T193" s="163"/>
      <c r="U193" s="163"/>
      <c r="V193" s="164"/>
      <c r="W193" s="165"/>
      <c r="X193" s="166"/>
      <c r="Z193" s="156"/>
    </row>
    <row r="194" spans="1:27" s="155" customFormat="1" ht="15" customHeight="1">
      <c r="A194" s="215"/>
      <c r="B194" s="213" t="s">
        <v>995</v>
      </c>
      <c r="C194" s="488"/>
      <c r="D194" s="201"/>
      <c r="E194" s="201"/>
      <c r="F194" s="201"/>
      <c r="G194" s="201"/>
      <c r="H194" s="201" t="e">
        <f t="shared" si="12"/>
        <v>#DIV/0!</v>
      </c>
      <c r="I194" s="268" t="e">
        <f t="shared" si="13"/>
        <v>#DIV/0!</v>
      </c>
      <c r="J194" s="234"/>
      <c r="K194" s="337"/>
      <c r="L194" s="162"/>
      <c r="M194" s="201"/>
      <c r="N194" s="164"/>
      <c r="O194" s="618">
        <f t="shared" si="14"/>
        <v>360</v>
      </c>
      <c r="P194" s="258" t="e">
        <f t="shared" si="10"/>
        <v>#DIV/0!</v>
      </c>
      <c r="Q194" s="252" t="e">
        <f t="shared" si="11"/>
        <v>#DIV/0!</v>
      </c>
      <c r="R194" s="163"/>
      <c r="S194" s="163"/>
      <c r="T194" s="163"/>
      <c r="U194" s="163"/>
      <c r="V194" s="164"/>
      <c r="W194" s="165"/>
      <c r="X194" s="166"/>
      <c r="Z194" s="156"/>
    </row>
    <row r="195" spans="1:27" s="155" customFormat="1" ht="15" customHeight="1">
      <c r="A195" s="215"/>
      <c r="B195" s="213" t="s">
        <v>996</v>
      </c>
      <c r="C195" s="488"/>
      <c r="D195" s="201"/>
      <c r="E195" s="201"/>
      <c r="F195" s="201"/>
      <c r="G195" s="201"/>
      <c r="H195" s="201" t="e">
        <f t="shared" si="12"/>
        <v>#DIV/0!</v>
      </c>
      <c r="I195" s="268" t="e">
        <f t="shared" si="13"/>
        <v>#DIV/0!</v>
      </c>
      <c r="J195" s="234"/>
      <c r="K195" s="337"/>
      <c r="L195" s="162"/>
      <c r="M195" s="201"/>
      <c r="N195" s="164"/>
      <c r="O195" s="618">
        <f t="shared" si="14"/>
        <v>360</v>
      </c>
      <c r="P195" s="258" t="e">
        <f t="shared" si="10"/>
        <v>#DIV/0!</v>
      </c>
      <c r="Q195" s="252" t="e">
        <f t="shared" si="11"/>
        <v>#DIV/0!</v>
      </c>
      <c r="R195" s="163"/>
      <c r="S195" s="163"/>
      <c r="T195" s="163"/>
      <c r="U195" s="163"/>
      <c r="V195" s="164"/>
      <c r="W195" s="165"/>
      <c r="X195" s="166"/>
      <c r="Z195" s="156"/>
    </row>
    <row r="196" spans="1:27" s="155" customFormat="1" ht="15" customHeight="1">
      <c r="A196" s="215"/>
      <c r="B196" s="213" t="s">
        <v>997</v>
      </c>
      <c r="C196" s="488"/>
      <c r="D196" s="201"/>
      <c r="E196" s="201"/>
      <c r="F196" s="201"/>
      <c r="G196" s="201"/>
      <c r="H196" s="201" t="e">
        <f t="shared" si="12"/>
        <v>#DIV/0!</v>
      </c>
      <c r="I196" s="268" t="e">
        <f t="shared" si="13"/>
        <v>#DIV/0!</v>
      </c>
      <c r="J196" s="234"/>
      <c r="K196" s="337"/>
      <c r="L196" s="162"/>
      <c r="M196" s="201"/>
      <c r="N196" s="164"/>
      <c r="O196" s="618">
        <f t="shared" si="14"/>
        <v>360</v>
      </c>
      <c r="P196" s="258" t="e">
        <f t="shared" si="10"/>
        <v>#DIV/0!</v>
      </c>
      <c r="Q196" s="252" t="e">
        <f t="shared" si="11"/>
        <v>#DIV/0!</v>
      </c>
      <c r="R196" s="163"/>
      <c r="S196" s="163"/>
      <c r="T196" s="163"/>
      <c r="U196" s="163"/>
      <c r="V196" s="164"/>
      <c r="W196" s="165"/>
      <c r="X196" s="166"/>
      <c r="Z196" s="156"/>
    </row>
    <row r="197" spans="1:27" s="155" customFormat="1" ht="15" customHeight="1">
      <c r="A197" s="215"/>
      <c r="B197" s="213" t="s">
        <v>998</v>
      </c>
      <c r="C197" s="488"/>
      <c r="D197" s="201"/>
      <c r="E197" s="201"/>
      <c r="F197" s="201"/>
      <c r="G197" s="201"/>
      <c r="H197" s="201" t="e">
        <f t="shared" si="12"/>
        <v>#DIV/0!</v>
      </c>
      <c r="I197" s="268" t="e">
        <f t="shared" si="13"/>
        <v>#DIV/0!</v>
      </c>
      <c r="J197" s="234"/>
      <c r="K197" s="337"/>
      <c r="L197" s="162"/>
      <c r="M197" s="201"/>
      <c r="N197" s="164"/>
      <c r="O197" s="618">
        <f t="shared" si="14"/>
        <v>360</v>
      </c>
      <c r="P197" s="258" t="e">
        <f t="shared" si="10"/>
        <v>#DIV/0!</v>
      </c>
      <c r="Q197" s="252" t="e">
        <f t="shared" si="11"/>
        <v>#DIV/0!</v>
      </c>
      <c r="R197" s="163"/>
      <c r="S197" s="163"/>
      <c r="T197" s="163"/>
      <c r="U197" s="163"/>
      <c r="V197" s="164"/>
      <c r="W197" s="165"/>
      <c r="X197" s="166"/>
      <c r="Z197" s="156"/>
    </row>
    <row r="198" spans="1:27" s="155" customFormat="1" ht="15" customHeight="1">
      <c r="A198" s="215"/>
      <c r="B198" s="213" t="s">
        <v>999</v>
      </c>
      <c r="C198" s="488"/>
      <c r="D198" s="201"/>
      <c r="E198" s="201"/>
      <c r="F198" s="201"/>
      <c r="G198" s="201"/>
      <c r="H198" s="201" t="e">
        <f t="shared" si="12"/>
        <v>#DIV/0!</v>
      </c>
      <c r="I198" s="268" t="e">
        <f t="shared" si="13"/>
        <v>#DIV/0!</v>
      </c>
      <c r="J198" s="234"/>
      <c r="K198" s="337"/>
      <c r="L198" s="162"/>
      <c r="M198" s="201"/>
      <c r="N198" s="164"/>
      <c r="O198" s="618">
        <f t="shared" si="14"/>
        <v>360</v>
      </c>
      <c r="P198" s="258" t="e">
        <f t="shared" si="10"/>
        <v>#DIV/0!</v>
      </c>
      <c r="Q198" s="252" t="e">
        <f t="shared" si="11"/>
        <v>#DIV/0!</v>
      </c>
      <c r="R198" s="163"/>
      <c r="S198" s="163"/>
      <c r="T198" s="163"/>
      <c r="U198" s="163"/>
      <c r="V198" s="164"/>
      <c r="W198" s="165"/>
      <c r="X198" s="166"/>
      <c r="Z198" s="156"/>
    </row>
    <row r="199" spans="1:27" s="155" customFormat="1" ht="15" customHeight="1">
      <c r="A199" s="215"/>
      <c r="B199" s="213" t="s">
        <v>1000</v>
      </c>
      <c r="C199" s="488"/>
      <c r="D199" s="201"/>
      <c r="E199" s="201"/>
      <c r="F199" s="201"/>
      <c r="G199" s="201"/>
      <c r="H199" s="201" t="e">
        <f t="shared" si="12"/>
        <v>#DIV/0!</v>
      </c>
      <c r="I199" s="268" t="e">
        <f t="shared" si="13"/>
        <v>#DIV/0!</v>
      </c>
      <c r="J199" s="234"/>
      <c r="K199" s="337"/>
      <c r="L199" s="162"/>
      <c r="M199" s="201"/>
      <c r="N199" s="164"/>
      <c r="O199" s="618">
        <f t="shared" si="14"/>
        <v>360</v>
      </c>
      <c r="P199" s="258" t="e">
        <f t="shared" si="10"/>
        <v>#DIV/0!</v>
      </c>
      <c r="Q199" s="252" t="e">
        <f t="shared" si="11"/>
        <v>#DIV/0!</v>
      </c>
      <c r="R199" s="163"/>
      <c r="S199" s="163"/>
      <c r="T199" s="163"/>
      <c r="U199" s="163"/>
      <c r="V199" s="164"/>
      <c r="W199" s="165"/>
      <c r="X199" s="166"/>
      <c r="Z199" s="156"/>
    </row>
    <row r="200" spans="1:27" s="155" customFormat="1" ht="15" customHeight="1">
      <c r="A200" s="215"/>
      <c r="B200" s="213" t="s">
        <v>1001</v>
      </c>
      <c r="C200" s="488"/>
      <c r="D200" s="201"/>
      <c r="E200" s="201"/>
      <c r="F200" s="201"/>
      <c r="G200" s="201"/>
      <c r="H200" s="201" t="e">
        <f t="shared" si="12"/>
        <v>#DIV/0!</v>
      </c>
      <c r="I200" s="268" t="e">
        <f t="shared" si="13"/>
        <v>#DIV/0!</v>
      </c>
      <c r="J200" s="234"/>
      <c r="K200" s="337"/>
      <c r="L200" s="162"/>
      <c r="M200" s="201"/>
      <c r="N200" s="164"/>
      <c r="O200" s="618">
        <f t="shared" si="14"/>
        <v>360</v>
      </c>
      <c r="P200" s="258" t="e">
        <f t="shared" si="10"/>
        <v>#DIV/0!</v>
      </c>
      <c r="Q200" s="252" t="e">
        <f t="shared" si="11"/>
        <v>#DIV/0!</v>
      </c>
      <c r="R200" s="163"/>
      <c r="S200" s="163"/>
      <c r="T200" s="163"/>
      <c r="U200" s="163"/>
      <c r="V200" s="164"/>
      <c r="W200" s="165"/>
      <c r="X200" s="166"/>
      <c r="Z200" s="156"/>
    </row>
    <row r="201" spans="1:27" s="155" customFormat="1" ht="15" customHeight="1">
      <c r="A201" s="215"/>
      <c r="B201" s="213" t="s">
        <v>1002</v>
      </c>
      <c r="C201" s="488"/>
      <c r="D201" s="201"/>
      <c r="E201" s="201"/>
      <c r="F201" s="201"/>
      <c r="G201" s="201"/>
      <c r="H201" s="201" t="e">
        <f t="shared" si="12"/>
        <v>#DIV/0!</v>
      </c>
      <c r="I201" s="268" t="e">
        <f t="shared" si="13"/>
        <v>#DIV/0!</v>
      </c>
      <c r="J201" s="234"/>
      <c r="K201" s="337"/>
      <c r="L201" s="162"/>
      <c r="M201" s="201"/>
      <c r="N201" s="164"/>
      <c r="O201" s="618">
        <f t="shared" si="14"/>
        <v>360</v>
      </c>
      <c r="P201" s="258" t="e">
        <f t="shared" si="10"/>
        <v>#DIV/0!</v>
      </c>
      <c r="Q201" s="252" t="e">
        <f t="shared" si="11"/>
        <v>#DIV/0!</v>
      </c>
      <c r="R201" s="163"/>
      <c r="S201" s="163"/>
      <c r="T201" s="163"/>
      <c r="U201" s="163"/>
      <c r="V201" s="164"/>
      <c r="W201" s="165"/>
      <c r="X201" s="166"/>
      <c r="Z201" s="156"/>
    </row>
    <row r="202" spans="1:27" s="155" customFormat="1" ht="15" customHeight="1">
      <c r="A202" s="215"/>
      <c r="B202" s="213" t="s">
        <v>1003</v>
      </c>
      <c r="C202" s="488"/>
      <c r="D202" s="201"/>
      <c r="E202" s="201"/>
      <c r="F202" s="201"/>
      <c r="G202" s="201"/>
      <c r="H202" s="201" t="e">
        <f t="shared" si="12"/>
        <v>#DIV/0!</v>
      </c>
      <c r="I202" s="268" t="e">
        <f t="shared" si="13"/>
        <v>#DIV/0!</v>
      </c>
      <c r="J202" s="234"/>
      <c r="K202" s="337"/>
      <c r="L202" s="162"/>
      <c r="M202" s="201"/>
      <c r="N202" s="164"/>
      <c r="O202" s="618">
        <f t="shared" si="14"/>
        <v>360</v>
      </c>
      <c r="P202" s="258" t="e">
        <f t="shared" si="10"/>
        <v>#DIV/0!</v>
      </c>
      <c r="Q202" s="252" t="e">
        <f t="shared" si="11"/>
        <v>#DIV/0!</v>
      </c>
      <c r="R202" s="163"/>
      <c r="S202" s="163"/>
      <c r="T202" s="163"/>
      <c r="U202" s="163"/>
      <c r="V202" s="164"/>
      <c r="W202" s="165"/>
      <c r="X202" s="166"/>
      <c r="Z202" s="156"/>
    </row>
    <row r="203" spans="1:27" s="155" customFormat="1" ht="15" customHeight="1">
      <c r="A203" s="215"/>
      <c r="B203" s="213" t="s">
        <v>1004</v>
      </c>
      <c r="C203" s="488"/>
      <c r="D203" s="201"/>
      <c r="E203" s="201"/>
      <c r="F203" s="201"/>
      <c r="G203" s="201"/>
      <c r="H203" s="201" t="e">
        <f t="shared" si="12"/>
        <v>#DIV/0!</v>
      </c>
      <c r="I203" s="268" t="e">
        <f t="shared" si="13"/>
        <v>#DIV/0!</v>
      </c>
      <c r="J203" s="234"/>
      <c r="K203" s="337"/>
      <c r="L203" s="162"/>
      <c r="M203" s="201"/>
      <c r="N203" s="164"/>
      <c r="O203" s="618">
        <f t="shared" si="14"/>
        <v>360</v>
      </c>
      <c r="P203" s="258" t="e">
        <f t="shared" si="10"/>
        <v>#DIV/0!</v>
      </c>
      <c r="Q203" s="252" t="e">
        <f t="shared" si="11"/>
        <v>#DIV/0!</v>
      </c>
      <c r="R203" s="163"/>
      <c r="S203" s="163"/>
      <c r="T203" s="163"/>
      <c r="U203" s="163"/>
      <c r="V203" s="164"/>
      <c r="W203" s="165"/>
      <c r="X203" s="166"/>
      <c r="Z203" s="156"/>
      <c r="AA203" s="156"/>
    </row>
    <row r="204" spans="1:27" s="155" customFormat="1" ht="15" customHeight="1">
      <c r="A204" s="215"/>
      <c r="B204" s="213" t="s">
        <v>1005</v>
      </c>
      <c r="C204" s="488"/>
      <c r="D204" s="201"/>
      <c r="E204" s="201"/>
      <c r="F204" s="201"/>
      <c r="G204" s="201"/>
      <c r="H204" s="201" t="e">
        <f t="shared" si="12"/>
        <v>#DIV/0!</v>
      </c>
      <c r="I204" s="268" t="e">
        <f t="shared" si="13"/>
        <v>#DIV/0!</v>
      </c>
      <c r="J204" s="234"/>
      <c r="K204" s="337"/>
      <c r="L204" s="162"/>
      <c r="M204" s="201"/>
      <c r="N204" s="164"/>
      <c r="O204" s="618">
        <f t="shared" si="14"/>
        <v>360</v>
      </c>
      <c r="P204" s="258" t="e">
        <f t="shared" si="10"/>
        <v>#DIV/0!</v>
      </c>
      <c r="Q204" s="252" t="e">
        <f t="shared" si="11"/>
        <v>#DIV/0!</v>
      </c>
      <c r="R204" s="163"/>
      <c r="S204" s="163"/>
      <c r="T204" s="163"/>
      <c r="U204" s="163"/>
      <c r="V204" s="164"/>
      <c r="W204" s="165"/>
      <c r="X204" s="166"/>
      <c r="Z204" s="156"/>
      <c r="AA204" s="156"/>
    </row>
    <row r="205" spans="1:27" s="155" customFormat="1" ht="15" customHeight="1">
      <c r="A205" s="215"/>
      <c r="B205" s="213" t="s">
        <v>1006</v>
      </c>
      <c r="C205" s="488"/>
      <c r="D205" s="201"/>
      <c r="E205" s="201"/>
      <c r="F205" s="201"/>
      <c r="G205" s="201"/>
      <c r="H205" s="201" t="e">
        <f t="shared" si="12"/>
        <v>#DIV/0!</v>
      </c>
      <c r="I205" s="268" t="e">
        <f t="shared" si="13"/>
        <v>#DIV/0!</v>
      </c>
      <c r="J205" s="234"/>
      <c r="K205" s="337"/>
      <c r="L205" s="162"/>
      <c r="M205" s="201"/>
      <c r="N205" s="164"/>
      <c r="O205" s="618">
        <f t="shared" si="14"/>
        <v>360</v>
      </c>
      <c r="P205" s="258" t="e">
        <f t="shared" si="10"/>
        <v>#DIV/0!</v>
      </c>
      <c r="Q205" s="252" t="e">
        <f t="shared" si="11"/>
        <v>#DIV/0!</v>
      </c>
      <c r="R205" s="163"/>
      <c r="S205" s="163"/>
      <c r="T205" s="163"/>
      <c r="U205" s="163"/>
      <c r="V205" s="164"/>
      <c r="W205" s="165"/>
      <c r="X205" s="166"/>
      <c r="Z205" s="156"/>
      <c r="AA205" s="156"/>
    </row>
    <row r="206" spans="1:27" s="155" customFormat="1" ht="15" customHeight="1">
      <c r="A206" s="215"/>
      <c r="B206" s="213" t="s">
        <v>1007</v>
      </c>
      <c r="C206" s="488"/>
      <c r="D206" s="201"/>
      <c r="E206" s="201"/>
      <c r="F206" s="201"/>
      <c r="G206" s="201"/>
      <c r="H206" s="201" t="e">
        <f t="shared" si="12"/>
        <v>#DIV/0!</v>
      </c>
      <c r="I206" s="268" t="e">
        <f t="shared" si="13"/>
        <v>#DIV/0!</v>
      </c>
      <c r="J206" s="234"/>
      <c r="K206" s="337"/>
      <c r="L206" s="162"/>
      <c r="M206" s="201"/>
      <c r="N206" s="164"/>
      <c r="O206" s="618">
        <f t="shared" si="14"/>
        <v>360</v>
      </c>
      <c r="P206" s="258" t="e">
        <f t="shared" si="10"/>
        <v>#DIV/0!</v>
      </c>
      <c r="Q206" s="252" t="e">
        <f t="shared" si="11"/>
        <v>#DIV/0!</v>
      </c>
      <c r="R206" s="163"/>
      <c r="S206" s="163"/>
      <c r="T206" s="163"/>
      <c r="U206" s="163"/>
      <c r="V206" s="164"/>
      <c r="W206" s="165"/>
      <c r="X206" s="166"/>
      <c r="Z206" s="156"/>
      <c r="AA206" s="156"/>
    </row>
    <row r="207" spans="1:27" s="155" customFormat="1" ht="15" customHeight="1">
      <c r="A207" s="215"/>
      <c r="B207" s="213" t="s">
        <v>1008</v>
      </c>
      <c r="C207" s="488"/>
      <c r="D207" s="201"/>
      <c r="E207" s="201"/>
      <c r="F207" s="201"/>
      <c r="G207" s="201"/>
      <c r="H207" s="201" t="e">
        <f t="shared" si="12"/>
        <v>#DIV/0!</v>
      </c>
      <c r="I207" s="268" t="e">
        <f t="shared" si="13"/>
        <v>#DIV/0!</v>
      </c>
      <c r="J207" s="234"/>
      <c r="K207" s="337"/>
      <c r="L207" s="162"/>
      <c r="M207" s="201"/>
      <c r="N207" s="164"/>
      <c r="O207" s="618">
        <f t="shared" si="14"/>
        <v>360</v>
      </c>
      <c r="P207" s="258" t="e">
        <f t="shared" si="10"/>
        <v>#DIV/0!</v>
      </c>
      <c r="Q207" s="252" t="e">
        <f t="shared" si="11"/>
        <v>#DIV/0!</v>
      </c>
      <c r="R207" s="163"/>
      <c r="S207" s="163"/>
      <c r="T207" s="163"/>
      <c r="U207" s="163"/>
      <c r="V207" s="164"/>
      <c r="W207" s="165"/>
      <c r="X207" s="166"/>
      <c r="Z207" s="156"/>
      <c r="AA207" s="156"/>
    </row>
    <row r="208" spans="1:27" s="155" customFormat="1" ht="15" customHeight="1" thickBot="1">
      <c r="A208" s="215"/>
      <c r="B208" s="213" t="s">
        <v>1009</v>
      </c>
      <c r="C208" s="488"/>
      <c r="D208" s="201"/>
      <c r="E208" s="201"/>
      <c r="F208" s="201"/>
      <c r="G208" s="201"/>
      <c r="H208" s="201" t="e">
        <f>H207</f>
        <v>#DIV/0!</v>
      </c>
      <c r="I208" s="268" t="e">
        <f>I207</f>
        <v>#DIV/0!</v>
      </c>
      <c r="J208" s="627"/>
      <c r="K208" s="628"/>
      <c r="L208" s="162"/>
      <c r="M208" s="201"/>
      <c r="N208" s="164"/>
      <c r="O208" s="619">
        <f>O207</f>
        <v>360</v>
      </c>
      <c r="P208" s="258" t="e">
        <f t="shared" si="10"/>
        <v>#DIV/0!</v>
      </c>
      <c r="Q208" s="252" t="e">
        <f t="shared" si="11"/>
        <v>#DIV/0!</v>
      </c>
      <c r="R208" s="163"/>
      <c r="S208" s="163"/>
      <c r="T208" s="163"/>
      <c r="U208" s="163"/>
      <c r="V208" s="164"/>
      <c r="W208" s="165"/>
      <c r="X208" s="166"/>
      <c r="Z208" s="156"/>
      <c r="AA208" s="156"/>
    </row>
    <row r="209" spans="1:28" s="186" customFormat="1" ht="15" customHeight="1">
      <c r="A209" s="215"/>
      <c r="B209" s="210"/>
      <c r="C209" s="298"/>
      <c r="D209" s="195"/>
      <c r="E209" s="135"/>
      <c r="F209" s="135"/>
      <c r="G209" s="135"/>
      <c r="H209" s="135"/>
      <c r="I209" s="232"/>
      <c r="J209" s="232"/>
      <c r="K209" s="232"/>
      <c r="L209" s="195"/>
      <c r="M209" s="195"/>
      <c r="N209" s="195"/>
      <c r="O209" s="144"/>
      <c r="P209" s="195"/>
      <c r="Q209" s="195"/>
      <c r="R209" s="195"/>
      <c r="S209" s="195"/>
      <c r="T209" s="195"/>
      <c r="U209" s="195"/>
      <c r="V209" s="197"/>
      <c r="W209" s="185"/>
      <c r="X209" s="141"/>
      <c r="Z209" s="187"/>
      <c r="AA209" s="155"/>
      <c r="AB209" s="155"/>
    </row>
    <row r="210" spans="1:28" s="186" customFormat="1" ht="15" customHeight="1">
      <c r="A210" s="215"/>
      <c r="B210" s="210"/>
      <c r="C210" s="298"/>
      <c r="D210" s="195"/>
      <c r="E210" s="135"/>
      <c r="F210" s="135"/>
      <c r="G210" s="135"/>
      <c r="H210" s="135"/>
      <c r="I210" s="232"/>
      <c r="J210" s="232"/>
      <c r="K210" s="232"/>
      <c r="L210" s="195"/>
      <c r="M210" s="195"/>
      <c r="N210" s="195"/>
      <c r="O210" s="144"/>
      <c r="P210" s="195"/>
      <c r="Q210" s="195"/>
      <c r="R210" s="195"/>
      <c r="S210" s="195"/>
      <c r="T210" s="195"/>
      <c r="U210" s="195"/>
      <c r="V210" s="197"/>
      <c r="W210" s="185"/>
      <c r="X210" s="141"/>
      <c r="Z210" s="187"/>
      <c r="AA210" s="155"/>
      <c r="AB210" s="155"/>
    </row>
    <row r="211" spans="1:28" s="186" customFormat="1" ht="15" customHeight="1" thickBot="1">
      <c r="A211" s="215"/>
      <c r="B211" s="279" t="s">
        <v>1010</v>
      </c>
      <c r="C211" s="280"/>
      <c r="D211" s="281"/>
      <c r="E211" s="281"/>
      <c r="F211" s="281"/>
      <c r="G211" s="281"/>
      <c r="H211" s="281"/>
      <c r="I211" s="281"/>
      <c r="J211" s="282"/>
      <c r="K211" s="282"/>
      <c r="L211" s="283"/>
      <c r="M211" s="281"/>
      <c r="N211" s="281"/>
      <c r="O211" s="281"/>
      <c r="P211" s="281"/>
      <c r="Q211" s="281"/>
      <c r="R211" s="281"/>
      <c r="S211" s="284"/>
      <c r="T211" s="281"/>
      <c r="U211" s="281" t="s">
        <v>678</v>
      </c>
      <c r="V211" s="285" t="s">
        <v>27</v>
      </c>
      <c r="W211" s="286"/>
      <c r="X211" s="287"/>
      <c r="Z211" s="187"/>
      <c r="AA211" s="155"/>
      <c r="AB211" s="155"/>
    </row>
    <row r="212" spans="1:28" s="186" customFormat="1" ht="15" customHeight="1" thickBot="1">
      <c r="A212" s="215"/>
      <c r="B212" s="210"/>
      <c r="C212" s="133">
        <f>SUMIF(Densidades!A:A,'Memória TOTAL'!X212,Densidades!B:B)</f>
        <v>0</v>
      </c>
      <c r="D212" s="134">
        <f>SUMIF(Densidades!A:A,'Memória TOTAL'!X212,Densidades!C:C)</f>
        <v>0</v>
      </c>
      <c r="E212" s="134" t="str">
        <f>IF(I212=15,"FIRECLAY MORTAR",IF(I212=16,"ALUMINA MORTAR",IF(I212=17,"BASIC MORTAR",IF(I212=18,"MORTAR","-"))))</f>
        <v>-</v>
      </c>
      <c r="F212" s="134" t="str">
        <f>IF(I212=15,"FIRECLAY MORTAR",IF(I212=16,"ALUMINA MORTAR",IF(I212=17,"BASIC MORTAR",IF(I212=18,"MORTAR","-"))))</f>
        <v>-</v>
      </c>
      <c r="G212" s="134" t="str">
        <f>IF(I212=15,"FIRECLAY MORTAR",IF(I212=16,"ALUMINA MORTAR",IF(I212=17,"BASIC MORTAR",IF(I212=18,"MORTAR","-"))))</f>
        <v>-</v>
      </c>
      <c r="H212" s="134" t="str">
        <f>IF(I212=15,"FIRECLAY MORTAR",IF(I212=16,"ALUMINA MORTAR",IF(I212=17,"BASIC MORTAR",IF(I212=18,"MORTAR","-"))))</f>
        <v>-</v>
      </c>
      <c r="I212" s="134">
        <f>SUMIF(Densidades!A:A,'Memória TOTAL'!X212,Densidades!G:G)</f>
        <v>0</v>
      </c>
      <c r="J212" s="136">
        <f>SUMIF(Formatos!A:A,'Memória TOTAL'!X213,Formatos!G:G)</f>
        <v>0</v>
      </c>
      <c r="K212" s="137">
        <f>SUMIF(Densidades!A:A,'Memória TOTAL'!X212,Densidades!I:I)</f>
        <v>0</v>
      </c>
      <c r="L212" s="188">
        <v>0</v>
      </c>
      <c r="M212" s="189"/>
      <c r="N212" s="189"/>
      <c r="O212" s="189"/>
      <c r="P212" s="189"/>
      <c r="Q212" s="189"/>
      <c r="R212" s="189"/>
      <c r="S212" s="189"/>
      <c r="T212" s="190"/>
      <c r="U212" s="290">
        <v>0.06</v>
      </c>
      <c r="V212" s="192" t="e">
        <f>(W149*J149*C212+W153*J153*C212)*U212</f>
        <v>#VALUE!</v>
      </c>
      <c r="W212" s="193" t="str">
        <f>IF(C212=0,"",ROUNDUP(SUM(V212:V213)*(1+L212)/D212,2)*D212)</f>
        <v/>
      </c>
      <c r="X212" s="263"/>
      <c r="Z212" s="187"/>
      <c r="AA212" s="155"/>
      <c r="AB212" s="155"/>
    </row>
    <row r="213" spans="1:28" s="186" customFormat="1" ht="15" customHeight="1">
      <c r="A213" s="215"/>
      <c r="B213" s="210"/>
      <c r="C213" s="133"/>
      <c r="D213" s="195"/>
      <c r="E213" s="195"/>
      <c r="F213" s="195"/>
      <c r="G213" s="195"/>
      <c r="H213" s="195"/>
      <c r="I213" s="195"/>
      <c r="J213" s="196"/>
      <c r="K213" s="196"/>
      <c r="L213" s="144"/>
      <c r="M213" s="195"/>
      <c r="N213" s="195"/>
      <c r="O213" s="195"/>
      <c r="P213" s="195"/>
      <c r="Q213" s="195"/>
      <c r="R213" s="195"/>
      <c r="S213" s="195"/>
      <c r="T213" s="195"/>
      <c r="U213" s="195"/>
      <c r="V213" s="197"/>
      <c r="W213" s="185"/>
      <c r="X213" s="141" t="str">
        <f>IF(AND(H212="-",G212="-",F212="-"),E212,IF(AND(H212="-",G212="-",E212="-"),F212,IF(AND(H212="-",F212="-",E212="-"),G212,H212)))</f>
        <v>-</v>
      </c>
      <c r="Z213" s="187"/>
      <c r="AA213" s="155"/>
      <c r="AB213" s="155"/>
    </row>
    <row r="214" spans="1:28" s="186" customFormat="1" ht="15" customHeight="1">
      <c r="A214" s="215"/>
      <c r="B214" s="213"/>
      <c r="C214" s="133"/>
      <c r="D214" s="195"/>
      <c r="E214" s="195"/>
      <c r="F214" s="195"/>
      <c r="G214" s="195"/>
      <c r="H214" s="195"/>
      <c r="I214" s="195"/>
      <c r="J214" s="196"/>
      <c r="K214" s="196"/>
      <c r="L214" s="144"/>
      <c r="M214" s="195"/>
      <c r="N214" s="195"/>
      <c r="O214" s="195"/>
      <c r="P214" s="195"/>
      <c r="Q214" s="195"/>
      <c r="R214" s="195"/>
      <c r="S214" s="195"/>
      <c r="T214" s="195"/>
      <c r="U214" s="195"/>
      <c r="V214" s="197"/>
      <c r="W214" s="185"/>
      <c r="X214" s="141" t="s">
        <v>2</v>
      </c>
      <c r="Z214" s="187"/>
      <c r="AA214" s="156"/>
      <c r="AB214" s="155"/>
    </row>
    <row r="215" spans="1:28" ht="15" customHeight="1">
      <c r="A215" s="215"/>
      <c r="B215" s="131"/>
      <c r="C215" s="169"/>
      <c r="D215" s="170"/>
      <c r="E215" s="170"/>
      <c r="F215" s="170"/>
      <c r="G215" s="170"/>
      <c r="H215" s="170"/>
      <c r="I215" s="170"/>
      <c r="J215" s="171"/>
      <c r="K215" s="171"/>
      <c r="L215" s="172"/>
      <c r="M215" s="170"/>
      <c r="N215" s="170"/>
      <c r="O215" s="170"/>
      <c r="P215" s="170"/>
      <c r="Q215" s="170"/>
      <c r="R215" s="170"/>
      <c r="S215" s="170"/>
      <c r="T215" s="170"/>
      <c r="U215" s="170"/>
      <c r="V215" s="173"/>
      <c r="W215" s="174"/>
      <c r="X215" s="175"/>
    </row>
    <row r="216" spans="1:28" s="186" customFormat="1" ht="15" customHeight="1" thickBot="1">
      <c r="A216" s="215"/>
      <c r="B216" s="279" t="s">
        <v>1011</v>
      </c>
      <c r="C216" s="280"/>
      <c r="D216" s="281"/>
      <c r="E216" s="281"/>
      <c r="F216" s="281"/>
      <c r="G216" s="281"/>
      <c r="H216" s="281"/>
      <c r="I216" s="281"/>
      <c r="J216" s="282"/>
      <c r="K216" s="282"/>
      <c r="L216" s="283"/>
      <c r="M216" s="281"/>
      <c r="N216" s="281"/>
      <c r="O216" s="281"/>
      <c r="P216" s="281"/>
      <c r="Q216" s="281"/>
      <c r="R216" s="281" t="s">
        <v>636</v>
      </c>
      <c r="S216" s="284" t="s">
        <v>637</v>
      </c>
      <c r="T216" s="281" t="s">
        <v>638</v>
      </c>
      <c r="U216" s="281" t="s">
        <v>38</v>
      </c>
      <c r="V216" s="285" t="s">
        <v>27</v>
      </c>
      <c r="W216" s="286"/>
      <c r="X216" s="287"/>
      <c r="Z216" s="187"/>
      <c r="AA216" s="187"/>
    </row>
    <row r="217" spans="1:28" s="186" customFormat="1" ht="15" customHeight="1" thickBot="1">
      <c r="A217" s="215"/>
      <c r="B217" s="210"/>
      <c r="C217" s="133">
        <f>SUMIF(Densidades!A:A,'Memória TOTAL'!X217,Densidades!B:B)</f>
        <v>0</v>
      </c>
      <c r="D217" s="134">
        <f>SUMIF(Densidades!A:A,'Memória TOTAL'!X217,Densidades!C:C)</f>
        <v>0</v>
      </c>
      <c r="E217" s="134" t="str">
        <f>IF(I217=15,"FIRECLAY MORTAR",IF(I217=16,"ALUMINA MORTAR",IF(I217=17,"BASIC MORTAR",IF(I217=18,"MORTAR","-"))))</f>
        <v>-</v>
      </c>
      <c r="F217" s="134" t="str">
        <f>IF(I217=15,"FIRECLAY MORTAR",IF(I217=16,"ALUMINA MORTAR",IF(I217=17,"BASIC MORTAR",IF(I217=18,"MORTAR","-"))))</f>
        <v>-</v>
      </c>
      <c r="G217" s="134" t="str">
        <f>IF(I217=15,"FIRECLAY MORTAR",IF(I217=16,"ALUMINA MORTAR",IF(I217=17,"BASIC MORTAR",IF(I217=18,"MORTAR","-"))))</f>
        <v>-</v>
      </c>
      <c r="H217" s="134" t="str">
        <f>IF(I217=15,"FIRECLAY MORTAR",IF(I217=16,"ALUMINA MORTAR",IF(I217=17,"BASIC MORTAR",IF(I217=18,"MORTAR","-"))))</f>
        <v>-</v>
      </c>
      <c r="I217" s="134">
        <f>SUMIF(Densidades!A:A,'Memória TOTAL'!X217,Densidades!G:G)</f>
        <v>0</v>
      </c>
      <c r="J217" s="136">
        <f>SUMIF(Formatos!A:A,'Memória TOTAL'!X218,Formatos!G:G)</f>
        <v>0</v>
      </c>
      <c r="K217" s="222">
        <f>SUMIF(Densidades!A:A,'Memória TOTAL'!X217,Densidades!I:I)</f>
        <v>0</v>
      </c>
      <c r="L217" s="188">
        <v>0</v>
      </c>
      <c r="M217" s="189"/>
      <c r="N217" s="189"/>
      <c r="O217" s="189"/>
      <c r="P217" s="189"/>
      <c r="Q217" s="189"/>
      <c r="R217" s="190">
        <f>((G149*H149)+(G149*E149)+(H149*E149))/1000000</f>
        <v>0</v>
      </c>
      <c r="S217" s="259">
        <v>2</v>
      </c>
      <c r="T217" s="190">
        <f>R217*S217</f>
        <v>0</v>
      </c>
      <c r="U217" s="191">
        <f>SUM(W149:W154)</f>
        <v>0</v>
      </c>
      <c r="V217" s="192">
        <f>(T217*C217*(1+L217))*U217</f>
        <v>0</v>
      </c>
      <c r="W217" s="140" t="str">
        <f>IF(C217=0,"",ROUNDUP(SUM(V217:V218)*(1+L217)/D217,2)*D217)</f>
        <v/>
      </c>
      <c r="X217" s="263"/>
      <c r="Z217" s="187"/>
      <c r="AA217" s="187"/>
    </row>
    <row r="218" spans="1:28" s="186" customFormat="1" ht="15" customHeight="1">
      <c r="A218" s="215"/>
      <c r="B218" s="210"/>
      <c r="C218" s="133"/>
      <c r="D218" s="195"/>
      <c r="E218" s="195"/>
      <c r="F218" s="195"/>
      <c r="G218" s="195"/>
      <c r="H218" s="195"/>
      <c r="I218" s="195"/>
      <c r="J218" s="196"/>
      <c r="K218" s="196"/>
      <c r="L218" s="144"/>
      <c r="M218" s="195"/>
      <c r="N218" s="195"/>
      <c r="O218" s="195"/>
      <c r="P218" s="195"/>
      <c r="Q218" s="195"/>
      <c r="R218" s="195"/>
      <c r="S218" s="195"/>
      <c r="T218" s="195"/>
      <c r="U218" s="195"/>
      <c r="V218" s="197"/>
      <c r="W218" s="185"/>
      <c r="X218" s="141" t="str">
        <f>IF(AND(H217="-",G217="-",F217="-"),E217,IF(AND(H217="-",G217="-",E217="-"),F217,IF(AND(H217="-",F217="-",E217="-"),G217,H217)))</f>
        <v>-</v>
      </c>
      <c r="Z218" s="187"/>
      <c r="AA218" s="187"/>
    </row>
    <row r="219" spans="1:28" s="186" customFormat="1" ht="15" customHeight="1">
      <c r="A219" s="215"/>
      <c r="B219" s="213"/>
      <c r="C219" s="133"/>
      <c r="D219" s="195"/>
      <c r="E219" s="195"/>
      <c r="F219" s="195"/>
      <c r="G219" s="195"/>
      <c r="H219" s="195"/>
      <c r="I219" s="195"/>
      <c r="J219" s="196"/>
      <c r="K219" s="196"/>
      <c r="L219" s="144"/>
      <c r="M219" s="195"/>
      <c r="N219" s="195"/>
      <c r="O219" s="195"/>
      <c r="P219" s="195"/>
      <c r="Q219" s="195"/>
      <c r="R219" s="195"/>
      <c r="S219" s="195"/>
      <c r="T219" s="195"/>
      <c r="U219" s="195"/>
      <c r="V219" s="197"/>
      <c r="W219" s="185"/>
      <c r="X219" s="141" t="s">
        <v>2</v>
      </c>
      <c r="Z219" s="187"/>
      <c r="AA219" s="187"/>
    </row>
    <row r="220" spans="1:28" s="186" customFormat="1" ht="15" customHeight="1">
      <c r="A220" s="215"/>
      <c r="B220" s="213"/>
      <c r="C220" s="133"/>
      <c r="D220" s="195"/>
      <c r="E220" s="195"/>
      <c r="F220" s="195"/>
      <c r="G220" s="195"/>
      <c r="H220" s="195"/>
      <c r="I220" s="195"/>
      <c r="J220" s="196"/>
      <c r="K220" s="196"/>
      <c r="L220" s="144"/>
      <c r="M220" s="195"/>
      <c r="N220" s="195"/>
      <c r="O220" s="195"/>
      <c r="P220" s="195"/>
      <c r="Q220" s="195"/>
      <c r="R220" s="195"/>
      <c r="S220" s="195"/>
      <c r="T220" s="195"/>
      <c r="U220" s="195"/>
      <c r="V220" s="197"/>
      <c r="W220" s="185"/>
      <c r="X220" s="141"/>
      <c r="Z220" s="187"/>
      <c r="AA220" s="187"/>
    </row>
    <row r="221" spans="1:28" s="186" customFormat="1" ht="15" customHeight="1" thickBot="1">
      <c r="A221" s="215"/>
      <c r="B221" s="509"/>
      <c r="C221" s="509"/>
      <c r="D221" s="512"/>
      <c r="E221" s="512"/>
      <c r="F221" s="512"/>
      <c r="G221" s="512"/>
      <c r="H221" s="512"/>
      <c r="I221" s="512"/>
      <c r="J221" s="512"/>
      <c r="K221" s="512"/>
      <c r="L221" s="512"/>
      <c r="M221" s="512"/>
      <c r="N221" s="512"/>
      <c r="O221" s="512"/>
      <c r="P221" s="512"/>
      <c r="Q221" s="512"/>
      <c r="R221" s="512"/>
      <c r="S221" s="512"/>
      <c r="T221" s="512"/>
      <c r="U221" s="512"/>
      <c r="V221" s="512"/>
      <c r="W221" s="512"/>
      <c r="X221" s="513"/>
      <c r="Y221" s="511"/>
      <c r="Z221" s="187"/>
      <c r="AA221" s="187"/>
    </row>
    <row r="222" spans="1:28" ht="15" customHeight="1" thickBot="1">
      <c r="A222" s="278"/>
      <c r="B222" s="502" t="str">
        <f>IF(X223="","COMPOSIÇÃO CONE 2 TIJOLOS",X223)</f>
        <v>COMPOSIÇÃO CONE 2 TIJOLOS</v>
      </c>
      <c r="C222" s="503" t="s">
        <v>101</v>
      </c>
      <c r="D222" s="504" t="s">
        <v>102</v>
      </c>
      <c r="E222" s="504" t="s">
        <v>42</v>
      </c>
      <c r="F222" s="504" t="s">
        <v>42</v>
      </c>
      <c r="G222" s="504" t="s">
        <v>43</v>
      </c>
      <c r="H222" s="504" t="s">
        <v>44</v>
      </c>
      <c r="I222" s="504" t="s">
        <v>47</v>
      </c>
      <c r="J222" s="504" t="s">
        <v>103</v>
      </c>
      <c r="K222" s="504" t="s">
        <v>37</v>
      </c>
      <c r="L222" s="504" t="s">
        <v>39</v>
      </c>
      <c r="M222" s="504" t="s">
        <v>45</v>
      </c>
      <c r="N222" s="504" t="s">
        <v>46</v>
      </c>
      <c r="O222" s="505" t="s">
        <v>106</v>
      </c>
      <c r="P222" s="504" t="s">
        <v>52</v>
      </c>
      <c r="Q222" s="505" t="s">
        <v>53</v>
      </c>
      <c r="R222" s="505" t="s">
        <v>104</v>
      </c>
      <c r="S222" s="504"/>
      <c r="T222" s="504"/>
      <c r="U222" s="504" t="s">
        <v>677</v>
      </c>
      <c r="V222" s="506" t="s">
        <v>27</v>
      </c>
      <c r="W222" s="507"/>
      <c r="X222" s="508"/>
    </row>
    <row r="223" spans="1:28" ht="15" customHeight="1" thickBot="1">
      <c r="A223" s="215"/>
      <c r="B223" s="783" t="s">
        <v>1832</v>
      </c>
      <c r="C223" s="245">
        <f>SUMIF(Densidades!A:A,'Memória TOTAL'!X223,Densidades!B:B)</f>
        <v>0</v>
      </c>
      <c r="D223" s="134">
        <f>SUMIF(Densidades!A:A,'Memória TOTAL'!X223,Densidades!C:C)</f>
        <v>0</v>
      </c>
      <c r="E223" s="135">
        <f>IF(AND(E229=1,E230=2),SUMIF(Formatos!A:A,'Memória TOTAL'!X224,Formatos!D:D),SUMIF(Formatos!A:A,'Memória TOTAL'!X224,Formatos!E:E))</f>
        <v>0</v>
      </c>
      <c r="F223" s="135">
        <f>IF(AND(E229=1,E230=2),SUMIF(Formatos!A:A,'Memória TOTAL'!X224,Formatos!R:R),SUMIF(Formatos!A:A,'Memória TOTAL'!X224,Formatos!F:F))</f>
        <v>0</v>
      </c>
      <c r="G223" s="135">
        <f>SUMIF(Formatos!A:A,'Memória TOTAL'!X224,Formatos!C:C)</f>
        <v>0</v>
      </c>
      <c r="H223" s="135">
        <f>IF(AND(E229=1,E230=2),SUMIF(Formatos!A:A,'Memória TOTAL'!X224,Formatos!E:E),SUMIF(Formatos!A:A,'Memória TOTAL'!X224,Formatos!D:D))</f>
        <v>0</v>
      </c>
      <c r="I223" s="135">
        <f>SUMIF(Densidades!A:A,'Memória TOTAL'!X223,Densidades!H:H)</f>
        <v>0</v>
      </c>
      <c r="J223" s="136">
        <f>SUMIF(Formatos!A:A,'Memória TOTAL'!X224,Formatos!G:G)</f>
        <v>0</v>
      </c>
      <c r="K223" s="137">
        <f>SUMIF(Densidades!A:A,'Memória TOTAL'!X223,Densidades!I:I)</f>
        <v>0</v>
      </c>
      <c r="L223" s="253">
        <v>0</v>
      </c>
      <c r="M223" s="609"/>
      <c r="N223" s="610"/>
      <c r="O223" s="610"/>
      <c r="P223" s="255"/>
      <c r="Q223" s="610"/>
      <c r="R223" s="613" t="s">
        <v>2189</v>
      </c>
      <c r="S223" s="612"/>
      <c r="T223" s="260"/>
      <c r="U223" s="500"/>
      <c r="V223" s="256" t="str">
        <f>IF(M223="","",IF(AND(OR(M223=E223,M223=G223,M223=H223),H223=H227),ROUND(SUM(P234:P284),0),"ESP. ERRADA"))</f>
        <v/>
      </c>
      <c r="W223" s="262" t="str">
        <f>IFERROR(IF(C223=0,"",ROUNDUP(SUM(V223)*(1+L223),0))*U223,"")</f>
        <v/>
      </c>
      <c r="X223" s="501"/>
    </row>
    <row r="224" spans="1:28" s="186" customFormat="1" ht="15" customHeight="1" thickBot="1">
      <c r="A224" s="215"/>
      <c r="B224" s="778"/>
      <c r="C224" s="236"/>
      <c r="D224" s="195"/>
      <c r="E224" s="195"/>
      <c r="F224" s="195"/>
      <c r="G224" s="195"/>
      <c r="H224" s="195"/>
      <c r="I224" s="195"/>
      <c r="J224" s="196"/>
      <c r="K224" s="196"/>
      <c r="L224" s="144"/>
      <c r="M224" s="195"/>
      <c r="N224" s="195"/>
      <c r="O224" s="195"/>
      <c r="P224" s="195"/>
      <c r="Q224" s="195"/>
      <c r="R224" s="195"/>
      <c r="S224" s="195"/>
      <c r="T224" s="195"/>
      <c r="U224" s="195"/>
      <c r="V224" s="197"/>
      <c r="W224" s="185"/>
      <c r="X224" s="141" t="str">
        <f>IF(B229="","",B229)</f>
        <v/>
      </c>
      <c r="Z224" s="187"/>
      <c r="AA224" s="187"/>
    </row>
    <row r="225" spans="1:27" s="186" customFormat="1" ht="15" customHeight="1">
      <c r="A225" s="215"/>
      <c r="B225" s="301"/>
      <c r="C225" s="236"/>
      <c r="D225" s="195"/>
      <c r="E225" s="195"/>
      <c r="F225" s="195"/>
      <c r="G225" s="195"/>
      <c r="H225" s="195"/>
      <c r="I225" s="195"/>
      <c r="J225" s="196"/>
      <c r="K225" s="196"/>
      <c r="L225" s="144"/>
      <c r="M225" s="195"/>
      <c r="N225" s="195"/>
      <c r="O225" s="195"/>
      <c r="P225" s="195"/>
      <c r="Q225" s="195"/>
      <c r="R225" s="195"/>
      <c r="S225" s="195"/>
      <c r="T225" s="195"/>
      <c r="U225" s="195"/>
      <c r="V225" s="197"/>
      <c r="W225" s="185"/>
      <c r="X225" s="141" t="s">
        <v>524</v>
      </c>
      <c r="Z225" s="187"/>
      <c r="AA225" s="187"/>
    </row>
    <row r="226" spans="1:27" s="186" customFormat="1" ht="15" customHeight="1" thickBot="1">
      <c r="A226" s="215"/>
      <c r="B226" s="301"/>
      <c r="C226" s="299" t="str">
        <f t="shared" ref="C226:L226" si="15">C222</f>
        <v>Dens.</v>
      </c>
      <c r="D226" s="182" t="str">
        <f t="shared" si="15"/>
        <v>Emb.</v>
      </c>
      <c r="E226" s="182" t="str">
        <f t="shared" si="15"/>
        <v>Esp. Tij.</v>
      </c>
      <c r="F226" s="182" t="str">
        <f t="shared" si="15"/>
        <v>Esp. Tij.</v>
      </c>
      <c r="G226" s="182" t="str">
        <f t="shared" si="15"/>
        <v>Comp. Tij.</v>
      </c>
      <c r="H226" s="182" t="str">
        <f t="shared" si="15"/>
        <v>Larg. Tij.</v>
      </c>
      <c r="I226" s="182" t="str">
        <f t="shared" si="15"/>
        <v>Tipo Fator</v>
      </c>
      <c r="J226" s="182" t="str">
        <f t="shared" si="15"/>
        <v>Vol.</v>
      </c>
      <c r="K226" s="182" t="str">
        <f t="shared" si="15"/>
        <v>Class.</v>
      </c>
      <c r="L226" s="182" t="str">
        <f t="shared" si="15"/>
        <v>Coefic. (%)</v>
      </c>
      <c r="M226" s="195"/>
      <c r="N226" s="195"/>
      <c r="O226" s="195"/>
      <c r="P226" s="195"/>
      <c r="Q226" s="195"/>
      <c r="R226" s="195"/>
      <c r="S226" s="195"/>
      <c r="T226" s="195"/>
      <c r="U226" s="195"/>
      <c r="V226" s="242"/>
      <c r="W226" s="185"/>
      <c r="X226" s="141"/>
      <c r="Z226" s="187"/>
      <c r="AA226" s="187"/>
    </row>
    <row r="227" spans="1:27" s="186" customFormat="1" ht="15" customHeight="1" thickBot="1">
      <c r="A227" s="215"/>
      <c r="B227" s="302"/>
      <c r="C227" s="245">
        <f>SUMIF(Densidades!A:A,'Memória TOTAL'!X227,Densidades!B:B)</f>
        <v>0</v>
      </c>
      <c r="D227" s="134">
        <f>SUMIF(Densidades!A:A,'Memória TOTAL'!X227,Densidades!C:C)</f>
        <v>620</v>
      </c>
      <c r="E227" s="135">
        <f>SUMIF(Formatos!A:A,'Memória TOTAL'!X228,Formatos!E:E)</f>
        <v>0</v>
      </c>
      <c r="F227" s="135">
        <f>SUMIF(Formatos!A:A,'Memória TOTAL'!X228,Formatos!F:F)</f>
        <v>0</v>
      </c>
      <c r="G227" s="135">
        <f>SUMIF(Formatos!A:A,'Memória TOTAL'!X228,Formatos!C:C)</f>
        <v>0</v>
      </c>
      <c r="H227" s="135">
        <f>SUMIF(Formatos!A:A,'Memória TOTAL'!X228,Formatos!D:D)</f>
        <v>0</v>
      </c>
      <c r="I227" s="135">
        <f>SUMIF(Densidades!A:A,'Memória TOTAL'!X227,Densidades!H:H)</f>
        <v>0</v>
      </c>
      <c r="J227" s="136">
        <f>SUMIF(Formatos!A:A,'Memória TOTAL'!X228,Formatos!G:G)</f>
        <v>0</v>
      </c>
      <c r="K227" s="222">
        <f>SUMIF(Densidades!A:A,'Memória TOTAL'!X227,Densidades!I:I)</f>
        <v>177</v>
      </c>
      <c r="L227" s="223">
        <v>0</v>
      </c>
      <c r="M227" s="195"/>
      <c r="N227" s="195"/>
      <c r="O227" s="195"/>
      <c r="P227" s="195"/>
      <c r="Q227" s="195"/>
      <c r="R227" s="195"/>
      <c r="S227" s="195"/>
      <c r="T227" s="232"/>
      <c r="U227" s="235"/>
      <c r="V227" s="256" t="str">
        <f>IF(M223="","",IF(AND(OR(M223=E227,M223=G227,M223=H227),H223=H227),ROUND(SUM(Q234:Q284),0),"ESP. ERRADA"))</f>
        <v/>
      </c>
      <c r="W227" s="267" t="str">
        <f>IFERROR(IF(C227=0,"",ROUNDUP(SUM(V227)*(1+L227),0))*U223,"")</f>
        <v/>
      </c>
      <c r="X227" s="141" t="str">
        <f>IF(X223="","",X223)</f>
        <v/>
      </c>
      <c r="Z227" s="187"/>
      <c r="AA227" s="187"/>
    </row>
    <row r="228" spans="1:27" s="186" customFormat="1" ht="15" customHeight="1" thickBot="1">
      <c r="A228" s="264"/>
      <c r="B228" s="247" t="s">
        <v>675</v>
      </c>
      <c r="C228" s="236"/>
      <c r="D228" s="195"/>
      <c r="E228" s="195"/>
      <c r="F228" s="195"/>
      <c r="G228" s="195"/>
      <c r="H228" s="195"/>
      <c r="I228" s="195"/>
      <c r="J228" s="196"/>
      <c r="K228" s="196"/>
      <c r="L228" s="144"/>
      <c r="M228" s="195"/>
      <c r="N228" s="195"/>
      <c r="O228" s="195"/>
      <c r="P228" s="195"/>
      <c r="Q228" s="195"/>
      <c r="R228" s="195"/>
      <c r="S228" s="195"/>
      <c r="T228" s="195"/>
      <c r="U228" s="195"/>
      <c r="V228" s="197"/>
      <c r="W228" s="185"/>
      <c r="X228" s="141" t="str">
        <f>IF(B230="","",B230)</f>
        <v/>
      </c>
      <c r="Z228" s="187"/>
      <c r="AA228" s="187"/>
    </row>
    <row r="229" spans="1:27" s="186" customFormat="1" ht="15" customHeight="1" thickBot="1">
      <c r="A229" s="264"/>
      <c r="B229" s="263"/>
      <c r="C229" s="243" t="s">
        <v>54</v>
      </c>
      <c r="D229" s="239"/>
      <c r="E229" s="195">
        <f>SUMIF(Formatos!A:A,'Memória TOTAL'!X224,Formatos!S:S)</f>
        <v>0</v>
      </c>
      <c r="F229" s="195"/>
      <c r="G229" s="195"/>
      <c r="H229" s="240"/>
      <c r="I229" s="240"/>
      <c r="J229" s="196"/>
      <c r="K229" s="196"/>
      <c r="L229" s="144"/>
      <c r="M229" s="195"/>
      <c r="N229" s="195"/>
      <c r="O229" s="149"/>
      <c r="P229" s="149"/>
      <c r="Q229" s="150"/>
      <c r="R229" s="149"/>
      <c r="S229" s="149"/>
      <c r="T229" s="195"/>
      <c r="U229" s="195"/>
      <c r="V229" s="197"/>
      <c r="W229" s="185"/>
      <c r="X229" s="141" t="s">
        <v>524</v>
      </c>
      <c r="Z229" s="187"/>
      <c r="AA229" s="187"/>
    </row>
    <row r="230" spans="1:27" s="186" customFormat="1" ht="15" customHeight="1" thickBot="1">
      <c r="A230" s="264"/>
      <c r="B230" s="263"/>
      <c r="C230" s="243" t="s">
        <v>55</v>
      </c>
      <c r="D230" s="239"/>
      <c r="E230" s="195">
        <f>SUMIF(Formatos!A:A,'Memória TOTAL'!X228,Formatos!S:S)</f>
        <v>0</v>
      </c>
      <c r="F230" s="195"/>
      <c r="G230" s="195"/>
      <c r="H230" s="240"/>
      <c r="I230" s="240"/>
      <c r="J230" s="196"/>
      <c r="K230" s="196"/>
      <c r="L230" s="144"/>
      <c r="M230" s="195"/>
      <c r="N230" s="195"/>
      <c r="O230" s="151"/>
      <c r="P230" s="151"/>
      <c r="Q230" s="157"/>
      <c r="R230" s="151"/>
      <c r="S230" s="151"/>
      <c r="T230" s="195"/>
      <c r="U230" s="195"/>
      <c r="V230" s="197"/>
      <c r="W230" s="231"/>
      <c r="X230" s="141"/>
      <c r="Z230" s="187"/>
      <c r="AA230" s="187"/>
    </row>
    <row r="231" spans="1:27" s="155" customFormat="1" ht="15" customHeight="1" thickBot="1">
      <c r="A231" s="248"/>
      <c r="B231" s="247" t="s">
        <v>676</v>
      </c>
      <c r="C231" s="236"/>
      <c r="D231" s="195"/>
      <c r="E231" s="195"/>
      <c r="F231" s="195"/>
      <c r="G231" s="195"/>
      <c r="H231" s="195"/>
      <c r="I231" s="195"/>
      <c r="J231" s="196"/>
      <c r="K231" s="196"/>
      <c r="L231" s="195"/>
      <c r="M231" s="195"/>
      <c r="N231" s="195"/>
      <c r="O231" s="195"/>
      <c r="P231" s="195"/>
      <c r="Q231" s="195"/>
      <c r="R231" s="195"/>
      <c r="S231" s="195"/>
      <c r="T231" s="151"/>
      <c r="U231" s="151"/>
      <c r="V231" s="152"/>
      <c r="W231" s="153"/>
      <c r="X231" s="154"/>
      <c r="Z231" s="156"/>
      <c r="AA231" s="156"/>
    </row>
    <row r="232" spans="1:27" s="155" customFormat="1" ht="15" customHeight="1" thickBot="1">
      <c r="A232" s="248"/>
      <c r="B232" s="779"/>
      <c r="C232" s="236"/>
      <c r="D232" s="195"/>
      <c r="E232" s="195"/>
      <c r="F232" s="195"/>
      <c r="G232" s="195"/>
      <c r="H232" s="195"/>
      <c r="I232" s="195"/>
      <c r="J232" s="196"/>
      <c r="K232" s="196"/>
      <c r="L232" s="195"/>
      <c r="M232" s="195"/>
      <c r="N232" s="195"/>
      <c r="O232" s="241"/>
      <c r="P232" s="195"/>
      <c r="Q232" s="195"/>
      <c r="R232" s="195"/>
      <c r="S232" s="781" t="s">
        <v>1074</v>
      </c>
      <c r="T232" s="782"/>
      <c r="U232" s="151"/>
      <c r="V232" s="152"/>
      <c r="W232" s="153"/>
      <c r="X232" s="154"/>
      <c r="Z232" s="156"/>
      <c r="AA232" s="156"/>
    </row>
    <row r="233" spans="1:27" s="186" customFormat="1" ht="15" customHeight="1" thickBot="1">
      <c r="A233" s="215"/>
      <c r="B233" s="780"/>
      <c r="C233" s="297" t="s">
        <v>989</v>
      </c>
      <c r="D233" s="195" t="s">
        <v>2190</v>
      </c>
      <c r="E233" s="195" t="s">
        <v>22</v>
      </c>
      <c r="F233" s="195" t="s">
        <v>48</v>
      </c>
      <c r="G233" s="195" t="s">
        <v>986</v>
      </c>
      <c r="H233" s="195" t="s">
        <v>987</v>
      </c>
      <c r="I233" s="195" t="s">
        <v>985</v>
      </c>
      <c r="J233" s="196" t="s">
        <v>45</v>
      </c>
      <c r="K233" s="196" t="s">
        <v>46</v>
      </c>
      <c r="L233" s="195" t="s">
        <v>2192</v>
      </c>
      <c r="M233" s="196" t="s">
        <v>2193</v>
      </c>
      <c r="N233" s="195"/>
      <c r="O233" s="611" t="s">
        <v>53</v>
      </c>
      <c r="P233" s="236" t="s">
        <v>54</v>
      </c>
      <c r="Q233" s="195" t="s">
        <v>55</v>
      </c>
      <c r="R233" s="195"/>
      <c r="S233" s="297" t="s">
        <v>989</v>
      </c>
      <c r="T233" s="195" t="s">
        <v>988</v>
      </c>
      <c r="U233" s="195"/>
      <c r="V233" s="197"/>
      <c r="W233" s="185"/>
      <c r="X233" s="141"/>
      <c r="Z233" s="187"/>
      <c r="AA233" s="187"/>
    </row>
    <row r="234" spans="1:27" s="186" customFormat="1" ht="15" customHeight="1">
      <c r="A234" s="215"/>
      <c r="B234" s="213" t="s">
        <v>392</v>
      </c>
      <c r="C234" s="297">
        <f>O223</f>
        <v>0</v>
      </c>
      <c r="D234" s="629">
        <f>Q223</f>
        <v>0</v>
      </c>
      <c r="E234" s="629">
        <f>E223</f>
        <v>0</v>
      </c>
      <c r="F234" s="629">
        <f>F223</f>
        <v>0</v>
      </c>
      <c r="G234" s="629">
        <f>E227</f>
        <v>0</v>
      </c>
      <c r="H234" s="629">
        <f>F227</f>
        <v>0</v>
      </c>
      <c r="I234" s="629">
        <f>IF(M223=G223,H223,IF(M223=H223,G223,"Espessura Errada"))</f>
        <v>0</v>
      </c>
      <c r="J234" s="629">
        <f>M223</f>
        <v>0</v>
      </c>
      <c r="K234" s="629">
        <f>N223</f>
        <v>0</v>
      </c>
      <c r="L234" s="630" t="e">
        <f t="shared" ref="L234:L265" si="16">(1/(-(E234+K234)*(H234+K234)+(F234+K234)*(G234+K234)))*3.1416*(-C234*(H234+K234)+(C234-(J234*2))*(G234+K234))</f>
        <v>#DIV/0!</v>
      </c>
      <c r="M234" s="630" t="e">
        <f t="shared" ref="M234:M265" si="17">((C234*PI())-(L234*(E234+K234)))/(G234+K234)</f>
        <v>#DIV/0!</v>
      </c>
      <c r="N234" s="195"/>
      <c r="O234" s="614">
        <v>360</v>
      </c>
      <c r="P234" s="236" t="e">
        <f t="shared" ref="P234:P265" si="18">IF(L234/360*O234-ROUNDDOWN(L234/360*O234,0)&gt;M234/360*O234-ROUNDDOWN(M234/360*O234,0),ROUNDUP(L234/360*O234,0),ROUNDUP(SUM(L234/360*O234,M234/360*O234),0)-ROUNDUP(M234/360*O234,0))</f>
        <v>#DIV/0!</v>
      </c>
      <c r="Q234" s="195" t="e">
        <f t="shared" ref="Q234:Q265" si="19">IF(M234/360*O234-ROUNDDOWN(M234/360*O234,0)&gt;L234/360*O234-ROUNDDOWN(L234/360*O234,0),ROUNDUP(M234/360*O234,0),ROUNDUP(SUM(L234/360*O234,M234/360*O234),0)-ROUNDUP(L234/360*O234,0))</f>
        <v>#DIV/0!</v>
      </c>
      <c r="R234" s="195"/>
      <c r="S234" s="327" t="e">
        <f t="shared" ref="S234:S265" si="20">((E234*(L234+K234)+G234*(M234+K234))/PI()-C234)/(P234+Q234)</f>
        <v>#DIV/0!</v>
      </c>
      <c r="T234" s="327" t="e">
        <f t="shared" ref="T234:T265" si="21">((F234*(L234+K234)+H234*(M234+K234))/PI()-(C234-(J234*2)))/(P234+Q234)</f>
        <v>#DIV/0!</v>
      </c>
      <c r="U234" s="195"/>
      <c r="V234" s="197"/>
      <c r="W234" s="185"/>
      <c r="X234" s="141"/>
      <c r="Z234" s="187"/>
      <c r="AA234" s="187"/>
    </row>
    <row r="235" spans="1:27" s="186" customFormat="1" ht="15" customHeight="1">
      <c r="A235" s="215"/>
      <c r="B235" s="213" t="s">
        <v>984</v>
      </c>
      <c r="C235" s="298">
        <f>IF(R223="Inclinado",C234+2*SIN(RADIANS(Q223))*(I235+K235),C234+2*TAN(RADIANS(Q223))*(I235+K235))</f>
        <v>0</v>
      </c>
      <c r="D235" s="629">
        <f t="shared" ref="D235:K235" si="22">D234</f>
        <v>0</v>
      </c>
      <c r="E235" s="629">
        <f t="shared" si="22"/>
        <v>0</v>
      </c>
      <c r="F235" s="629">
        <f t="shared" si="22"/>
        <v>0</v>
      </c>
      <c r="G235" s="629">
        <f t="shared" si="22"/>
        <v>0</v>
      </c>
      <c r="H235" s="629">
        <f t="shared" si="22"/>
        <v>0</v>
      </c>
      <c r="I235" s="629">
        <f t="shared" si="22"/>
        <v>0</v>
      </c>
      <c r="J235" s="629">
        <f t="shared" si="22"/>
        <v>0</v>
      </c>
      <c r="K235" s="629">
        <f t="shared" si="22"/>
        <v>0</v>
      </c>
      <c r="L235" s="630" t="e">
        <f t="shared" si="16"/>
        <v>#DIV/0!</v>
      </c>
      <c r="M235" s="630" t="e">
        <f t="shared" si="17"/>
        <v>#DIV/0!</v>
      </c>
      <c r="N235" s="195"/>
      <c r="O235" s="615">
        <f>O234</f>
        <v>360</v>
      </c>
      <c r="P235" s="236" t="e">
        <f t="shared" si="18"/>
        <v>#DIV/0!</v>
      </c>
      <c r="Q235" s="195" t="e">
        <f t="shared" si="19"/>
        <v>#DIV/0!</v>
      </c>
      <c r="R235" s="195"/>
      <c r="S235" s="327" t="e">
        <f t="shared" si="20"/>
        <v>#DIV/0!</v>
      </c>
      <c r="T235" s="327" t="e">
        <f t="shared" si="21"/>
        <v>#DIV/0!</v>
      </c>
      <c r="U235" s="195"/>
      <c r="V235" s="197"/>
      <c r="W235" s="185"/>
      <c r="X235" s="141"/>
      <c r="Z235" s="187"/>
      <c r="AA235" s="187"/>
    </row>
    <row r="236" spans="1:27" s="186" customFormat="1" ht="15" customHeight="1">
      <c r="A236" s="215"/>
      <c r="B236" s="213" t="s">
        <v>393</v>
      </c>
      <c r="C236" s="298">
        <f>IF(R223="Inclinado",C235+2*SIN(RADIANS(Q223))*(I235+N223),C235+2*TAN(RADIANS(Q223))*(I235+N223))</f>
        <v>0</v>
      </c>
      <c r="D236" s="629">
        <f t="shared" ref="D236:D283" si="23">D235</f>
        <v>0</v>
      </c>
      <c r="E236" s="629">
        <f t="shared" ref="E236:E253" si="24">E235</f>
        <v>0</v>
      </c>
      <c r="F236" s="629">
        <f t="shared" ref="F236:F253" si="25">F235</f>
        <v>0</v>
      </c>
      <c r="G236" s="629">
        <f t="shared" ref="G236:G253" si="26">G235</f>
        <v>0</v>
      </c>
      <c r="H236" s="629">
        <f t="shared" ref="H236:H253" si="27">H235</f>
        <v>0</v>
      </c>
      <c r="I236" s="629">
        <f t="shared" ref="I236:I283" si="28">I235</f>
        <v>0</v>
      </c>
      <c r="J236" s="629">
        <f t="shared" ref="J236:J283" si="29">J235</f>
        <v>0</v>
      </c>
      <c r="K236" s="629">
        <f t="shared" ref="K236:K283" si="30">K235</f>
        <v>0</v>
      </c>
      <c r="L236" s="630" t="e">
        <f t="shared" si="16"/>
        <v>#DIV/0!</v>
      </c>
      <c r="M236" s="630" t="e">
        <f t="shared" si="17"/>
        <v>#DIV/0!</v>
      </c>
      <c r="N236" s="195"/>
      <c r="O236" s="615">
        <f t="shared" ref="O236:O283" si="31">O235</f>
        <v>360</v>
      </c>
      <c r="P236" s="236" t="e">
        <f t="shared" si="18"/>
        <v>#DIV/0!</v>
      </c>
      <c r="Q236" s="195" t="e">
        <f t="shared" si="19"/>
        <v>#DIV/0!</v>
      </c>
      <c r="R236" s="195"/>
      <c r="S236" s="327" t="e">
        <f t="shared" si="20"/>
        <v>#DIV/0!</v>
      </c>
      <c r="T236" s="327" t="e">
        <f t="shared" si="21"/>
        <v>#DIV/0!</v>
      </c>
      <c r="U236" s="195"/>
      <c r="V236" s="197"/>
      <c r="W236" s="185"/>
      <c r="X236" s="141"/>
      <c r="Z236" s="187"/>
      <c r="AA236" s="187"/>
    </row>
    <row r="237" spans="1:27" s="186" customFormat="1" ht="15" customHeight="1">
      <c r="A237" s="215"/>
      <c r="B237" s="213" t="s">
        <v>394</v>
      </c>
      <c r="C237" s="298">
        <f>IF(R223="Inclinado",C236+2*SIN(RADIANS(Q223))*(I236+N223),C236+2*TAN(RADIANS(Q223))*(I236+N223))</f>
        <v>0</v>
      </c>
      <c r="D237" s="629">
        <f t="shared" si="23"/>
        <v>0</v>
      </c>
      <c r="E237" s="629">
        <f t="shared" si="24"/>
        <v>0</v>
      </c>
      <c r="F237" s="629">
        <f t="shared" si="25"/>
        <v>0</v>
      </c>
      <c r="G237" s="629">
        <f t="shared" si="26"/>
        <v>0</v>
      </c>
      <c r="H237" s="629">
        <f t="shared" si="27"/>
        <v>0</v>
      </c>
      <c r="I237" s="629">
        <f t="shared" si="28"/>
        <v>0</v>
      </c>
      <c r="J237" s="629">
        <f t="shared" si="29"/>
        <v>0</v>
      </c>
      <c r="K237" s="629">
        <f t="shared" si="30"/>
        <v>0</v>
      </c>
      <c r="L237" s="630" t="e">
        <f t="shared" si="16"/>
        <v>#DIV/0!</v>
      </c>
      <c r="M237" s="630" t="e">
        <f t="shared" si="17"/>
        <v>#DIV/0!</v>
      </c>
      <c r="N237" s="195"/>
      <c r="O237" s="615">
        <f t="shared" si="31"/>
        <v>360</v>
      </c>
      <c r="P237" s="236" t="e">
        <f t="shared" si="18"/>
        <v>#DIV/0!</v>
      </c>
      <c r="Q237" s="195" t="e">
        <f t="shared" si="19"/>
        <v>#DIV/0!</v>
      </c>
      <c r="R237" s="195"/>
      <c r="S237" s="327" t="e">
        <f t="shared" si="20"/>
        <v>#DIV/0!</v>
      </c>
      <c r="T237" s="327" t="e">
        <f t="shared" si="21"/>
        <v>#DIV/0!</v>
      </c>
      <c r="U237" s="195"/>
      <c r="V237" s="197"/>
      <c r="W237" s="185"/>
      <c r="X237" s="141"/>
      <c r="Z237" s="187"/>
      <c r="AA237" s="187"/>
    </row>
    <row r="238" spans="1:27" s="186" customFormat="1" ht="15" customHeight="1">
      <c r="A238" s="215"/>
      <c r="B238" s="213" t="s">
        <v>395</v>
      </c>
      <c r="C238" s="298">
        <f>IF(R223="Inclinado",C237+2*SIN(RADIANS(Q223))*(I237+N223),C237+2*TAN(RADIANS(Q223))*(I237+N223))</f>
        <v>0</v>
      </c>
      <c r="D238" s="629">
        <f t="shared" si="23"/>
        <v>0</v>
      </c>
      <c r="E238" s="629">
        <f t="shared" si="24"/>
        <v>0</v>
      </c>
      <c r="F238" s="629">
        <f t="shared" si="25"/>
        <v>0</v>
      </c>
      <c r="G238" s="629">
        <f t="shared" si="26"/>
        <v>0</v>
      </c>
      <c r="H238" s="629">
        <f t="shared" si="27"/>
        <v>0</v>
      </c>
      <c r="I238" s="629">
        <f t="shared" si="28"/>
        <v>0</v>
      </c>
      <c r="J238" s="629">
        <f t="shared" si="29"/>
        <v>0</v>
      </c>
      <c r="K238" s="629">
        <f t="shared" si="30"/>
        <v>0</v>
      </c>
      <c r="L238" s="630" t="e">
        <f t="shared" si="16"/>
        <v>#DIV/0!</v>
      </c>
      <c r="M238" s="630" t="e">
        <f t="shared" si="17"/>
        <v>#DIV/0!</v>
      </c>
      <c r="N238" s="195"/>
      <c r="O238" s="615">
        <f t="shared" si="31"/>
        <v>360</v>
      </c>
      <c r="P238" s="236" t="e">
        <f t="shared" si="18"/>
        <v>#DIV/0!</v>
      </c>
      <c r="Q238" s="195" t="e">
        <f t="shared" si="19"/>
        <v>#DIV/0!</v>
      </c>
      <c r="R238" s="195"/>
      <c r="S238" s="327" t="e">
        <f t="shared" si="20"/>
        <v>#DIV/0!</v>
      </c>
      <c r="T238" s="327" t="e">
        <f t="shared" si="21"/>
        <v>#DIV/0!</v>
      </c>
      <c r="U238" s="195"/>
      <c r="V238" s="197"/>
      <c r="W238" s="185"/>
      <c r="X238" s="141"/>
      <c r="Z238" s="187"/>
      <c r="AA238" s="187"/>
    </row>
    <row r="239" spans="1:27" s="186" customFormat="1" ht="15" customHeight="1">
      <c r="A239" s="215"/>
      <c r="B239" s="213" t="s">
        <v>396</v>
      </c>
      <c r="C239" s="298">
        <f>IF(R223="Inclinado",C238+2*SIN(RADIANS(Q223))*(I238+N223),C238+2*TAN(RADIANS(Q223))*(I238+N223))</f>
        <v>0</v>
      </c>
      <c r="D239" s="629">
        <f t="shared" si="23"/>
        <v>0</v>
      </c>
      <c r="E239" s="629">
        <f t="shared" si="24"/>
        <v>0</v>
      </c>
      <c r="F239" s="629">
        <f t="shared" si="25"/>
        <v>0</v>
      </c>
      <c r="G239" s="629">
        <f t="shared" si="26"/>
        <v>0</v>
      </c>
      <c r="H239" s="629">
        <f t="shared" si="27"/>
        <v>0</v>
      </c>
      <c r="I239" s="629">
        <f t="shared" si="28"/>
        <v>0</v>
      </c>
      <c r="J239" s="629">
        <f t="shared" si="29"/>
        <v>0</v>
      </c>
      <c r="K239" s="629">
        <f t="shared" si="30"/>
        <v>0</v>
      </c>
      <c r="L239" s="630" t="e">
        <f t="shared" si="16"/>
        <v>#DIV/0!</v>
      </c>
      <c r="M239" s="630" t="e">
        <f t="shared" si="17"/>
        <v>#DIV/0!</v>
      </c>
      <c r="N239" s="195"/>
      <c r="O239" s="615">
        <f t="shared" si="31"/>
        <v>360</v>
      </c>
      <c r="P239" s="236" t="e">
        <f t="shared" si="18"/>
        <v>#DIV/0!</v>
      </c>
      <c r="Q239" s="195" t="e">
        <f t="shared" si="19"/>
        <v>#DIV/0!</v>
      </c>
      <c r="R239" s="195"/>
      <c r="S239" s="327" t="e">
        <f t="shared" si="20"/>
        <v>#DIV/0!</v>
      </c>
      <c r="T239" s="327" t="e">
        <f t="shared" si="21"/>
        <v>#DIV/0!</v>
      </c>
      <c r="U239" s="195"/>
      <c r="V239" s="197"/>
      <c r="W239" s="185"/>
      <c r="X239" s="141"/>
      <c r="Z239" s="187"/>
      <c r="AA239" s="187"/>
    </row>
    <row r="240" spans="1:27" s="186" customFormat="1" ht="15" customHeight="1">
      <c r="A240" s="215"/>
      <c r="B240" s="213" t="s">
        <v>397</v>
      </c>
      <c r="C240" s="298">
        <f>IF(R223="Inclinado",C239+2*SIN(RADIANS(Q223))*(I239+N223),C239+2*TAN(RADIANS(Q223))*(I239+N223))</f>
        <v>0</v>
      </c>
      <c r="D240" s="629">
        <f t="shared" si="23"/>
        <v>0</v>
      </c>
      <c r="E240" s="629">
        <f t="shared" si="24"/>
        <v>0</v>
      </c>
      <c r="F240" s="629">
        <f t="shared" si="25"/>
        <v>0</v>
      </c>
      <c r="G240" s="629">
        <f t="shared" si="26"/>
        <v>0</v>
      </c>
      <c r="H240" s="629">
        <f t="shared" si="27"/>
        <v>0</v>
      </c>
      <c r="I240" s="629">
        <f t="shared" si="28"/>
        <v>0</v>
      </c>
      <c r="J240" s="629">
        <f t="shared" si="29"/>
        <v>0</v>
      </c>
      <c r="K240" s="629">
        <f t="shared" si="30"/>
        <v>0</v>
      </c>
      <c r="L240" s="630" t="e">
        <f t="shared" si="16"/>
        <v>#DIV/0!</v>
      </c>
      <c r="M240" s="630" t="e">
        <f t="shared" si="17"/>
        <v>#DIV/0!</v>
      </c>
      <c r="N240" s="195"/>
      <c r="O240" s="615">
        <f t="shared" si="31"/>
        <v>360</v>
      </c>
      <c r="P240" s="236" t="e">
        <f t="shared" si="18"/>
        <v>#DIV/0!</v>
      </c>
      <c r="Q240" s="195" t="e">
        <f t="shared" si="19"/>
        <v>#DIV/0!</v>
      </c>
      <c r="R240" s="195"/>
      <c r="S240" s="327" t="e">
        <f t="shared" si="20"/>
        <v>#DIV/0!</v>
      </c>
      <c r="T240" s="327" t="e">
        <f t="shared" si="21"/>
        <v>#DIV/0!</v>
      </c>
      <c r="U240" s="195"/>
      <c r="V240" s="197"/>
      <c r="W240" s="185"/>
      <c r="X240" s="141"/>
      <c r="Z240" s="187"/>
      <c r="AA240" s="187"/>
    </row>
    <row r="241" spans="1:27" s="186" customFormat="1" ht="15" customHeight="1">
      <c r="A241" s="215"/>
      <c r="B241" s="213" t="s">
        <v>398</v>
      </c>
      <c r="C241" s="298">
        <f>IF(R223="Inclinado",C240+2*SIN(RADIANS(Q223))*(I240+N223),C240+2*TAN(RADIANS(Q223))*(I240+N223))</f>
        <v>0</v>
      </c>
      <c r="D241" s="629">
        <f t="shared" si="23"/>
        <v>0</v>
      </c>
      <c r="E241" s="629">
        <f t="shared" si="24"/>
        <v>0</v>
      </c>
      <c r="F241" s="629">
        <f t="shared" si="25"/>
        <v>0</v>
      </c>
      <c r="G241" s="629">
        <f t="shared" si="26"/>
        <v>0</v>
      </c>
      <c r="H241" s="629">
        <f t="shared" si="27"/>
        <v>0</v>
      </c>
      <c r="I241" s="629">
        <f t="shared" si="28"/>
        <v>0</v>
      </c>
      <c r="J241" s="629">
        <f t="shared" si="29"/>
        <v>0</v>
      </c>
      <c r="K241" s="629">
        <f t="shared" si="30"/>
        <v>0</v>
      </c>
      <c r="L241" s="630" t="e">
        <f t="shared" si="16"/>
        <v>#DIV/0!</v>
      </c>
      <c r="M241" s="630" t="e">
        <f t="shared" si="17"/>
        <v>#DIV/0!</v>
      </c>
      <c r="N241" s="195"/>
      <c r="O241" s="615">
        <f t="shared" si="31"/>
        <v>360</v>
      </c>
      <c r="P241" s="236" t="e">
        <f t="shared" si="18"/>
        <v>#DIV/0!</v>
      </c>
      <c r="Q241" s="195" t="e">
        <f t="shared" si="19"/>
        <v>#DIV/0!</v>
      </c>
      <c r="R241" s="195"/>
      <c r="S241" s="327" t="e">
        <f t="shared" si="20"/>
        <v>#DIV/0!</v>
      </c>
      <c r="T241" s="327" t="e">
        <f t="shared" si="21"/>
        <v>#DIV/0!</v>
      </c>
      <c r="U241" s="195"/>
      <c r="V241" s="197"/>
      <c r="W241" s="185"/>
      <c r="X241" s="141"/>
      <c r="Z241" s="187"/>
      <c r="AA241" s="187"/>
    </row>
    <row r="242" spans="1:27" s="186" customFormat="1" ht="15" customHeight="1">
      <c r="A242" s="215"/>
      <c r="B242" s="213" t="s">
        <v>399</v>
      </c>
      <c r="C242" s="298">
        <f>IF(R223="Inclinado",C241+2*SIN(RADIANS(Q223))*(I241+N223),C241+2*TAN(RADIANS(Q223))*(I241+N223))</f>
        <v>0</v>
      </c>
      <c r="D242" s="629">
        <f t="shared" si="23"/>
        <v>0</v>
      </c>
      <c r="E242" s="629">
        <f t="shared" si="24"/>
        <v>0</v>
      </c>
      <c r="F242" s="629">
        <f t="shared" si="25"/>
        <v>0</v>
      </c>
      <c r="G242" s="629">
        <f t="shared" si="26"/>
        <v>0</v>
      </c>
      <c r="H242" s="629">
        <f t="shared" si="27"/>
        <v>0</v>
      </c>
      <c r="I242" s="629">
        <f t="shared" si="28"/>
        <v>0</v>
      </c>
      <c r="J242" s="629">
        <f t="shared" si="29"/>
        <v>0</v>
      </c>
      <c r="K242" s="629">
        <f t="shared" si="30"/>
        <v>0</v>
      </c>
      <c r="L242" s="630" t="e">
        <f t="shared" si="16"/>
        <v>#DIV/0!</v>
      </c>
      <c r="M242" s="630" t="e">
        <f t="shared" si="17"/>
        <v>#DIV/0!</v>
      </c>
      <c r="N242" s="195"/>
      <c r="O242" s="615">
        <f t="shared" si="31"/>
        <v>360</v>
      </c>
      <c r="P242" s="236" t="e">
        <f t="shared" si="18"/>
        <v>#DIV/0!</v>
      </c>
      <c r="Q242" s="195" t="e">
        <f t="shared" si="19"/>
        <v>#DIV/0!</v>
      </c>
      <c r="R242" s="195"/>
      <c r="S242" s="327" t="e">
        <f t="shared" si="20"/>
        <v>#DIV/0!</v>
      </c>
      <c r="T242" s="327" t="e">
        <f t="shared" si="21"/>
        <v>#DIV/0!</v>
      </c>
      <c r="U242" s="195"/>
      <c r="V242" s="197"/>
      <c r="W242" s="185"/>
      <c r="X242" s="141"/>
      <c r="Z242" s="187"/>
      <c r="AA242" s="187"/>
    </row>
    <row r="243" spans="1:27" s="186" customFormat="1" ht="15" customHeight="1">
      <c r="A243" s="215"/>
      <c r="B243" s="213" t="s">
        <v>400</v>
      </c>
      <c r="C243" s="298">
        <f>IF(R223="Inclinado",C242+2*SIN(RADIANS(Q223))*(I242+N223),C242+2*TAN(RADIANS(Q223))*(I242+N223))</f>
        <v>0</v>
      </c>
      <c r="D243" s="629">
        <f t="shared" si="23"/>
        <v>0</v>
      </c>
      <c r="E243" s="629">
        <f t="shared" si="24"/>
        <v>0</v>
      </c>
      <c r="F243" s="629">
        <f t="shared" si="25"/>
        <v>0</v>
      </c>
      <c r="G243" s="629">
        <f t="shared" si="26"/>
        <v>0</v>
      </c>
      <c r="H243" s="629">
        <f t="shared" si="27"/>
        <v>0</v>
      </c>
      <c r="I243" s="629">
        <f t="shared" si="28"/>
        <v>0</v>
      </c>
      <c r="J243" s="629">
        <f t="shared" si="29"/>
        <v>0</v>
      </c>
      <c r="K243" s="629">
        <f t="shared" si="30"/>
        <v>0</v>
      </c>
      <c r="L243" s="630" t="e">
        <f t="shared" si="16"/>
        <v>#DIV/0!</v>
      </c>
      <c r="M243" s="630" t="e">
        <f t="shared" si="17"/>
        <v>#DIV/0!</v>
      </c>
      <c r="N243" s="195"/>
      <c r="O243" s="615">
        <f t="shared" si="31"/>
        <v>360</v>
      </c>
      <c r="P243" s="236" t="e">
        <f t="shared" si="18"/>
        <v>#DIV/0!</v>
      </c>
      <c r="Q243" s="195" t="e">
        <f t="shared" si="19"/>
        <v>#DIV/0!</v>
      </c>
      <c r="R243" s="195"/>
      <c r="S243" s="327" t="e">
        <f t="shared" si="20"/>
        <v>#DIV/0!</v>
      </c>
      <c r="T243" s="327" t="e">
        <f t="shared" si="21"/>
        <v>#DIV/0!</v>
      </c>
      <c r="U243" s="195"/>
      <c r="V243" s="197"/>
      <c r="W243" s="185"/>
      <c r="X243" s="141"/>
      <c r="Z243" s="187"/>
      <c r="AA243" s="187"/>
    </row>
    <row r="244" spans="1:27" s="186" customFormat="1" ht="15" customHeight="1">
      <c r="A244" s="215"/>
      <c r="B244" s="213" t="s">
        <v>401</v>
      </c>
      <c r="C244" s="298">
        <f>IF(R223="Inclinado",C243+2*SIN(RADIANS(Q223))*(I243+N223),C243+2*TAN(RADIANS(Q223))*(I243+N223))</f>
        <v>0</v>
      </c>
      <c r="D244" s="629">
        <f t="shared" si="23"/>
        <v>0</v>
      </c>
      <c r="E244" s="629">
        <f t="shared" si="24"/>
        <v>0</v>
      </c>
      <c r="F244" s="629">
        <f t="shared" si="25"/>
        <v>0</v>
      </c>
      <c r="G244" s="629">
        <f t="shared" si="26"/>
        <v>0</v>
      </c>
      <c r="H244" s="629">
        <f t="shared" si="27"/>
        <v>0</v>
      </c>
      <c r="I244" s="629">
        <f t="shared" si="28"/>
        <v>0</v>
      </c>
      <c r="J244" s="629">
        <f t="shared" si="29"/>
        <v>0</v>
      </c>
      <c r="K244" s="629">
        <f t="shared" si="30"/>
        <v>0</v>
      </c>
      <c r="L244" s="630" t="e">
        <f t="shared" si="16"/>
        <v>#DIV/0!</v>
      </c>
      <c r="M244" s="630" t="e">
        <f t="shared" si="17"/>
        <v>#DIV/0!</v>
      </c>
      <c r="N244" s="195"/>
      <c r="O244" s="615">
        <f t="shared" si="31"/>
        <v>360</v>
      </c>
      <c r="P244" s="236" t="e">
        <f t="shared" si="18"/>
        <v>#DIV/0!</v>
      </c>
      <c r="Q244" s="195" t="e">
        <f t="shared" si="19"/>
        <v>#DIV/0!</v>
      </c>
      <c r="R244" s="195"/>
      <c r="S244" s="327" t="e">
        <f t="shared" si="20"/>
        <v>#DIV/0!</v>
      </c>
      <c r="T244" s="327" t="e">
        <f t="shared" si="21"/>
        <v>#DIV/0!</v>
      </c>
      <c r="U244" s="195"/>
      <c r="V244" s="197"/>
      <c r="W244" s="185"/>
      <c r="X244" s="141"/>
      <c r="Z244" s="187"/>
      <c r="AA244" s="187"/>
    </row>
    <row r="245" spans="1:27" s="186" customFormat="1" ht="15" customHeight="1">
      <c r="A245" s="215"/>
      <c r="B245" s="213" t="s">
        <v>402</v>
      </c>
      <c r="C245" s="298">
        <f>IF(R223="Inclinado",C244+2*SIN(RADIANS(Q223))*(I244+N223),C244+2*TAN(RADIANS(Q223))*(I244+N223))</f>
        <v>0</v>
      </c>
      <c r="D245" s="629">
        <f t="shared" si="23"/>
        <v>0</v>
      </c>
      <c r="E245" s="629">
        <f t="shared" si="24"/>
        <v>0</v>
      </c>
      <c r="F245" s="629">
        <f t="shared" si="25"/>
        <v>0</v>
      </c>
      <c r="G245" s="629">
        <f t="shared" si="26"/>
        <v>0</v>
      </c>
      <c r="H245" s="629">
        <f t="shared" si="27"/>
        <v>0</v>
      </c>
      <c r="I245" s="629">
        <f t="shared" si="28"/>
        <v>0</v>
      </c>
      <c r="J245" s="629">
        <f t="shared" si="29"/>
        <v>0</v>
      </c>
      <c r="K245" s="629">
        <f t="shared" si="30"/>
        <v>0</v>
      </c>
      <c r="L245" s="630" t="e">
        <f t="shared" si="16"/>
        <v>#DIV/0!</v>
      </c>
      <c r="M245" s="630" t="e">
        <f t="shared" si="17"/>
        <v>#DIV/0!</v>
      </c>
      <c r="N245" s="195"/>
      <c r="O245" s="615">
        <f t="shared" si="31"/>
        <v>360</v>
      </c>
      <c r="P245" s="236" t="e">
        <f t="shared" si="18"/>
        <v>#DIV/0!</v>
      </c>
      <c r="Q245" s="195" t="e">
        <f t="shared" si="19"/>
        <v>#DIV/0!</v>
      </c>
      <c r="R245" s="195"/>
      <c r="S245" s="327" t="e">
        <f t="shared" si="20"/>
        <v>#DIV/0!</v>
      </c>
      <c r="T245" s="327" t="e">
        <f t="shared" si="21"/>
        <v>#DIV/0!</v>
      </c>
      <c r="U245" s="195"/>
      <c r="V245" s="197"/>
      <c r="W245" s="185"/>
      <c r="X245" s="141"/>
      <c r="Z245" s="187"/>
      <c r="AA245" s="187"/>
    </row>
    <row r="246" spans="1:27" s="186" customFormat="1" ht="15" customHeight="1">
      <c r="A246" s="215"/>
      <c r="B246" s="213" t="s">
        <v>403</v>
      </c>
      <c r="C246" s="298">
        <f>IF(R223="Inclinado",C245+2*SIN(RADIANS(Q223))*(I245+N223),C245+2*TAN(RADIANS(Q223))*(I245+N223))</f>
        <v>0</v>
      </c>
      <c r="D246" s="629">
        <f t="shared" si="23"/>
        <v>0</v>
      </c>
      <c r="E246" s="629">
        <f t="shared" si="24"/>
        <v>0</v>
      </c>
      <c r="F246" s="629">
        <f t="shared" si="25"/>
        <v>0</v>
      </c>
      <c r="G246" s="629">
        <f t="shared" si="26"/>
        <v>0</v>
      </c>
      <c r="H246" s="629">
        <f t="shared" si="27"/>
        <v>0</v>
      </c>
      <c r="I246" s="629">
        <f t="shared" si="28"/>
        <v>0</v>
      </c>
      <c r="J246" s="629">
        <f t="shared" si="29"/>
        <v>0</v>
      </c>
      <c r="K246" s="629">
        <f t="shared" si="30"/>
        <v>0</v>
      </c>
      <c r="L246" s="630" t="e">
        <f t="shared" si="16"/>
        <v>#DIV/0!</v>
      </c>
      <c r="M246" s="630" t="e">
        <f t="shared" si="17"/>
        <v>#DIV/0!</v>
      </c>
      <c r="N246" s="195"/>
      <c r="O246" s="615">
        <f t="shared" si="31"/>
        <v>360</v>
      </c>
      <c r="P246" s="236" t="e">
        <f t="shared" si="18"/>
        <v>#DIV/0!</v>
      </c>
      <c r="Q246" s="195" t="e">
        <f t="shared" si="19"/>
        <v>#DIV/0!</v>
      </c>
      <c r="R246" s="195"/>
      <c r="S246" s="327" t="e">
        <f t="shared" si="20"/>
        <v>#DIV/0!</v>
      </c>
      <c r="T246" s="327" t="e">
        <f t="shared" si="21"/>
        <v>#DIV/0!</v>
      </c>
      <c r="U246" s="195"/>
      <c r="V246" s="197"/>
      <c r="W246" s="185"/>
      <c r="X246" s="141"/>
      <c r="Z246" s="187"/>
      <c r="AA246" s="187"/>
    </row>
    <row r="247" spans="1:27" s="186" customFormat="1" ht="15" customHeight="1">
      <c r="A247" s="215"/>
      <c r="B247" s="213" t="s">
        <v>404</v>
      </c>
      <c r="C247" s="298">
        <f>IF(R223="Inclinado",C246+2*SIN(RADIANS(Q223))*(I246+N223),C246+2*TAN(RADIANS(Q223))*(I246+N223))</f>
        <v>0</v>
      </c>
      <c r="D247" s="629">
        <f t="shared" si="23"/>
        <v>0</v>
      </c>
      <c r="E247" s="629">
        <f t="shared" si="24"/>
        <v>0</v>
      </c>
      <c r="F247" s="629">
        <f t="shared" si="25"/>
        <v>0</v>
      </c>
      <c r="G247" s="629">
        <f t="shared" si="26"/>
        <v>0</v>
      </c>
      <c r="H247" s="629">
        <f t="shared" si="27"/>
        <v>0</v>
      </c>
      <c r="I247" s="629">
        <f t="shared" si="28"/>
        <v>0</v>
      </c>
      <c r="J247" s="629">
        <f t="shared" si="29"/>
        <v>0</v>
      </c>
      <c r="K247" s="629">
        <f t="shared" si="30"/>
        <v>0</v>
      </c>
      <c r="L247" s="630" t="e">
        <f t="shared" si="16"/>
        <v>#DIV/0!</v>
      </c>
      <c r="M247" s="630" t="e">
        <f t="shared" si="17"/>
        <v>#DIV/0!</v>
      </c>
      <c r="N247" s="195"/>
      <c r="O247" s="615">
        <f t="shared" si="31"/>
        <v>360</v>
      </c>
      <c r="P247" s="236" t="e">
        <f t="shared" si="18"/>
        <v>#DIV/0!</v>
      </c>
      <c r="Q247" s="195" t="e">
        <f t="shared" si="19"/>
        <v>#DIV/0!</v>
      </c>
      <c r="R247" s="195"/>
      <c r="S247" s="327" t="e">
        <f t="shared" si="20"/>
        <v>#DIV/0!</v>
      </c>
      <c r="T247" s="327" t="e">
        <f t="shared" si="21"/>
        <v>#DIV/0!</v>
      </c>
      <c r="U247" s="195"/>
      <c r="V247" s="197"/>
      <c r="W247" s="185"/>
      <c r="X247" s="141"/>
      <c r="Z247" s="187"/>
      <c r="AA247" s="187"/>
    </row>
    <row r="248" spans="1:27" s="186" customFormat="1" ht="15" customHeight="1">
      <c r="A248" s="215"/>
      <c r="B248" s="213" t="s">
        <v>405</v>
      </c>
      <c r="C248" s="298">
        <f>IF(R223="Inclinado",C247+2*SIN(RADIANS(Q223))*(I247+N223),C247+2*TAN(RADIANS(Q223))*(I247+N223))</f>
        <v>0</v>
      </c>
      <c r="D248" s="629">
        <f t="shared" si="23"/>
        <v>0</v>
      </c>
      <c r="E248" s="629">
        <f t="shared" si="24"/>
        <v>0</v>
      </c>
      <c r="F248" s="629">
        <f t="shared" si="25"/>
        <v>0</v>
      </c>
      <c r="G248" s="629">
        <f t="shared" si="26"/>
        <v>0</v>
      </c>
      <c r="H248" s="629">
        <f t="shared" si="27"/>
        <v>0</v>
      </c>
      <c r="I248" s="629">
        <f t="shared" si="28"/>
        <v>0</v>
      </c>
      <c r="J248" s="629">
        <f t="shared" si="29"/>
        <v>0</v>
      </c>
      <c r="K248" s="629">
        <f t="shared" si="30"/>
        <v>0</v>
      </c>
      <c r="L248" s="630" t="e">
        <f t="shared" si="16"/>
        <v>#DIV/0!</v>
      </c>
      <c r="M248" s="630" t="e">
        <f t="shared" si="17"/>
        <v>#DIV/0!</v>
      </c>
      <c r="N248" s="195"/>
      <c r="O248" s="615">
        <f t="shared" si="31"/>
        <v>360</v>
      </c>
      <c r="P248" s="236" t="e">
        <f t="shared" si="18"/>
        <v>#DIV/0!</v>
      </c>
      <c r="Q248" s="195" t="e">
        <f t="shared" si="19"/>
        <v>#DIV/0!</v>
      </c>
      <c r="R248" s="195"/>
      <c r="S248" s="327" t="e">
        <f t="shared" si="20"/>
        <v>#DIV/0!</v>
      </c>
      <c r="T248" s="327" t="e">
        <f t="shared" si="21"/>
        <v>#DIV/0!</v>
      </c>
      <c r="U248" s="195"/>
      <c r="V248" s="197"/>
      <c r="W248" s="185"/>
      <c r="X248" s="141"/>
      <c r="Z248" s="187"/>
      <c r="AA248" s="187"/>
    </row>
    <row r="249" spans="1:27" s="186" customFormat="1" ht="15" customHeight="1">
      <c r="A249" s="215"/>
      <c r="B249" s="213" t="s">
        <v>406</v>
      </c>
      <c r="C249" s="298">
        <f>IF(R223="Inclinado",C248+2*SIN(RADIANS(Q223))*(I248+N223),C248+2*TAN(RADIANS(Q223))*(I248+N223))</f>
        <v>0</v>
      </c>
      <c r="D249" s="629">
        <f t="shared" si="23"/>
        <v>0</v>
      </c>
      <c r="E249" s="629">
        <f t="shared" si="24"/>
        <v>0</v>
      </c>
      <c r="F249" s="629">
        <f t="shared" si="25"/>
        <v>0</v>
      </c>
      <c r="G249" s="629">
        <f t="shared" si="26"/>
        <v>0</v>
      </c>
      <c r="H249" s="629">
        <f t="shared" si="27"/>
        <v>0</v>
      </c>
      <c r="I249" s="629">
        <f t="shared" si="28"/>
        <v>0</v>
      </c>
      <c r="J249" s="629">
        <f t="shared" si="29"/>
        <v>0</v>
      </c>
      <c r="K249" s="629">
        <f t="shared" si="30"/>
        <v>0</v>
      </c>
      <c r="L249" s="630" t="e">
        <f t="shared" si="16"/>
        <v>#DIV/0!</v>
      </c>
      <c r="M249" s="630" t="e">
        <f t="shared" si="17"/>
        <v>#DIV/0!</v>
      </c>
      <c r="N249" s="195"/>
      <c r="O249" s="615">
        <f t="shared" si="31"/>
        <v>360</v>
      </c>
      <c r="P249" s="236" t="e">
        <f t="shared" si="18"/>
        <v>#DIV/0!</v>
      </c>
      <c r="Q249" s="195" t="e">
        <f t="shared" si="19"/>
        <v>#DIV/0!</v>
      </c>
      <c r="R249" s="195"/>
      <c r="S249" s="327" t="e">
        <f t="shared" si="20"/>
        <v>#DIV/0!</v>
      </c>
      <c r="T249" s="327" t="e">
        <f t="shared" si="21"/>
        <v>#DIV/0!</v>
      </c>
      <c r="U249" s="195"/>
      <c r="V249" s="197"/>
      <c r="W249" s="185"/>
      <c r="X249" s="141"/>
      <c r="Z249" s="187"/>
      <c r="AA249" s="187"/>
    </row>
    <row r="250" spans="1:27" s="186" customFormat="1" ht="15" customHeight="1">
      <c r="A250" s="215"/>
      <c r="B250" s="213" t="s">
        <v>407</v>
      </c>
      <c r="C250" s="298">
        <f>IF(R223="Inclinado",C249+2*SIN(RADIANS(Q223))*(I249+N223),C249+2*TAN(RADIANS(Q223))*(I249+N223))</f>
        <v>0</v>
      </c>
      <c r="D250" s="629">
        <f t="shared" si="23"/>
        <v>0</v>
      </c>
      <c r="E250" s="629">
        <f t="shared" si="24"/>
        <v>0</v>
      </c>
      <c r="F250" s="629">
        <f t="shared" si="25"/>
        <v>0</v>
      </c>
      <c r="G250" s="629">
        <f t="shared" si="26"/>
        <v>0</v>
      </c>
      <c r="H250" s="629">
        <f t="shared" si="27"/>
        <v>0</v>
      </c>
      <c r="I250" s="629">
        <f t="shared" si="28"/>
        <v>0</v>
      </c>
      <c r="J250" s="629">
        <f t="shared" si="29"/>
        <v>0</v>
      </c>
      <c r="K250" s="629">
        <f t="shared" si="30"/>
        <v>0</v>
      </c>
      <c r="L250" s="630" t="e">
        <f t="shared" si="16"/>
        <v>#DIV/0!</v>
      </c>
      <c r="M250" s="630" t="e">
        <f t="shared" si="17"/>
        <v>#DIV/0!</v>
      </c>
      <c r="N250" s="195"/>
      <c r="O250" s="615">
        <f t="shared" si="31"/>
        <v>360</v>
      </c>
      <c r="P250" s="236" t="e">
        <f t="shared" si="18"/>
        <v>#DIV/0!</v>
      </c>
      <c r="Q250" s="195" t="e">
        <f t="shared" si="19"/>
        <v>#DIV/0!</v>
      </c>
      <c r="R250" s="195"/>
      <c r="S250" s="327" t="e">
        <f t="shared" si="20"/>
        <v>#DIV/0!</v>
      </c>
      <c r="T250" s="327" t="e">
        <f t="shared" si="21"/>
        <v>#DIV/0!</v>
      </c>
      <c r="U250" s="195"/>
      <c r="V250" s="197"/>
      <c r="W250" s="185"/>
      <c r="X250" s="141"/>
      <c r="Z250" s="187"/>
      <c r="AA250" s="187"/>
    </row>
    <row r="251" spans="1:27" s="186" customFormat="1" ht="15" customHeight="1">
      <c r="A251" s="215"/>
      <c r="B251" s="213" t="s">
        <v>408</v>
      </c>
      <c r="C251" s="298">
        <f>IF(R223="Inclinado",C250+2*SIN(RADIANS(Q223))*(I250+N223),C250+2*TAN(RADIANS(Q223))*(I250+N223))</f>
        <v>0</v>
      </c>
      <c r="D251" s="629">
        <f t="shared" si="23"/>
        <v>0</v>
      </c>
      <c r="E251" s="629">
        <f t="shared" si="24"/>
        <v>0</v>
      </c>
      <c r="F251" s="629">
        <f t="shared" si="25"/>
        <v>0</v>
      </c>
      <c r="G251" s="629">
        <f t="shared" si="26"/>
        <v>0</v>
      </c>
      <c r="H251" s="629">
        <f t="shared" si="27"/>
        <v>0</v>
      </c>
      <c r="I251" s="629">
        <f t="shared" si="28"/>
        <v>0</v>
      </c>
      <c r="J251" s="629">
        <f t="shared" si="29"/>
        <v>0</v>
      </c>
      <c r="K251" s="629">
        <f t="shared" si="30"/>
        <v>0</v>
      </c>
      <c r="L251" s="630" t="e">
        <f t="shared" si="16"/>
        <v>#DIV/0!</v>
      </c>
      <c r="M251" s="630" t="e">
        <f t="shared" si="17"/>
        <v>#DIV/0!</v>
      </c>
      <c r="N251" s="195"/>
      <c r="O251" s="615">
        <f t="shared" si="31"/>
        <v>360</v>
      </c>
      <c r="P251" s="236" t="e">
        <f t="shared" si="18"/>
        <v>#DIV/0!</v>
      </c>
      <c r="Q251" s="195" t="e">
        <f t="shared" si="19"/>
        <v>#DIV/0!</v>
      </c>
      <c r="R251" s="195"/>
      <c r="S251" s="327" t="e">
        <f t="shared" si="20"/>
        <v>#DIV/0!</v>
      </c>
      <c r="T251" s="327" t="e">
        <f t="shared" si="21"/>
        <v>#DIV/0!</v>
      </c>
      <c r="U251" s="195"/>
      <c r="V251" s="197"/>
      <c r="W251" s="185"/>
      <c r="X251" s="141"/>
      <c r="Z251" s="187"/>
      <c r="AA251" s="187"/>
    </row>
    <row r="252" spans="1:27" s="186" customFormat="1" ht="15" customHeight="1">
      <c r="A252" s="215"/>
      <c r="B252" s="213" t="s">
        <v>409</v>
      </c>
      <c r="C252" s="298">
        <f>IF(R223="Inclinado",C251+2*SIN(RADIANS(Q223))*(I251+N223),C251+2*TAN(RADIANS(Q223))*(I251+N223))</f>
        <v>0</v>
      </c>
      <c r="D252" s="629">
        <f t="shared" si="23"/>
        <v>0</v>
      </c>
      <c r="E252" s="629">
        <f t="shared" si="24"/>
        <v>0</v>
      </c>
      <c r="F252" s="629">
        <f t="shared" si="25"/>
        <v>0</v>
      </c>
      <c r="G252" s="629">
        <f t="shared" si="26"/>
        <v>0</v>
      </c>
      <c r="H252" s="629">
        <f t="shared" si="27"/>
        <v>0</v>
      </c>
      <c r="I252" s="629">
        <f t="shared" si="28"/>
        <v>0</v>
      </c>
      <c r="J252" s="629">
        <f t="shared" si="29"/>
        <v>0</v>
      </c>
      <c r="K252" s="629">
        <f t="shared" si="30"/>
        <v>0</v>
      </c>
      <c r="L252" s="630" t="e">
        <f t="shared" si="16"/>
        <v>#DIV/0!</v>
      </c>
      <c r="M252" s="630" t="e">
        <f t="shared" si="17"/>
        <v>#DIV/0!</v>
      </c>
      <c r="N252" s="195"/>
      <c r="O252" s="615">
        <f t="shared" si="31"/>
        <v>360</v>
      </c>
      <c r="P252" s="236" t="e">
        <f t="shared" si="18"/>
        <v>#DIV/0!</v>
      </c>
      <c r="Q252" s="195" t="e">
        <f t="shared" si="19"/>
        <v>#DIV/0!</v>
      </c>
      <c r="R252" s="195"/>
      <c r="S252" s="327" t="e">
        <f t="shared" si="20"/>
        <v>#DIV/0!</v>
      </c>
      <c r="T252" s="327" t="e">
        <f t="shared" si="21"/>
        <v>#DIV/0!</v>
      </c>
      <c r="U252" s="195"/>
      <c r="V252" s="197"/>
      <c r="W252" s="185"/>
      <c r="X252" s="141"/>
      <c r="Z252" s="187"/>
      <c r="AA252" s="187"/>
    </row>
    <row r="253" spans="1:27" s="186" customFormat="1" ht="15" customHeight="1">
      <c r="A253" s="215"/>
      <c r="B253" s="213" t="s">
        <v>410</v>
      </c>
      <c r="C253" s="298">
        <f>IF(R223="Inclinado",C252+2*SIN(RADIANS(Q223))*(I252+N223),C252+2*TAN(RADIANS(Q223))*(I252+N223))</f>
        <v>0</v>
      </c>
      <c r="D253" s="629">
        <f t="shared" si="23"/>
        <v>0</v>
      </c>
      <c r="E253" s="629">
        <f t="shared" si="24"/>
        <v>0</v>
      </c>
      <c r="F253" s="629">
        <f t="shared" si="25"/>
        <v>0</v>
      </c>
      <c r="G253" s="629">
        <f t="shared" si="26"/>
        <v>0</v>
      </c>
      <c r="H253" s="629">
        <f t="shared" si="27"/>
        <v>0</v>
      </c>
      <c r="I253" s="629">
        <f t="shared" si="28"/>
        <v>0</v>
      </c>
      <c r="J253" s="629">
        <f t="shared" si="29"/>
        <v>0</v>
      </c>
      <c r="K253" s="629">
        <f t="shared" si="30"/>
        <v>0</v>
      </c>
      <c r="L253" s="630" t="e">
        <f t="shared" si="16"/>
        <v>#DIV/0!</v>
      </c>
      <c r="M253" s="630" t="e">
        <f t="shared" si="17"/>
        <v>#DIV/0!</v>
      </c>
      <c r="N253" s="195"/>
      <c r="O253" s="615">
        <f t="shared" si="31"/>
        <v>360</v>
      </c>
      <c r="P253" s="236" t="e">
        <f t="shared" si="18"/>
        <v>#DIV/0!</v>
      </c>
      <c r="Q253" s="195" t="e">
        <f t="shared" si="19"/>
        <v>#DIV/0!</v>
      </c>
      <c r="R253" s="195"/>
      <c r="S253" s="327" t="e">
        <f t="shared" si="20"/>
        <v>#DIV/0!</v>
      </c>
      <c r="T253" s="327" t="e">
        <f t="shared" si="21"/>
        <v>#DIV/0!</v>
      </c>
      <c r="U253" s="195"/>
      <c r="V253" s="197"/>
      <c r="W253" s="185"/>
      <c r="X253" s="141"/>
      <c r="Z253" s="187"/>
      <c r="AA253" s="187"/>
    </row>
    <row r="254" spans="1:27" s="186" customFormat="1" ht="15" customHeight="1">
      <c r="A254" s="215"/>
      <c r="B254" s="213" t="s">
        <v>411</v>
      </c>
      <c r="C254" s="298">
        <f>IF(R223="Inclinado",C253+2*SIN(RADIANS(Q223))*(I253+N223),C253+2*TAN(RADIANS(Q223))*(I253+N223))</f>
        <v>0</v>
      </c>
      <c r="D254" s="629">
        <f t="shared" si="23"/>
        <v>0</v>
      </c>
      <c r="E254" s="629">
        <f t="shared" ref="E254:E268" si="32">E253</f>
        <v>0</v>
      </c>
      <c r="F254" s="629">
        <f t="shared" ref="F254:F268" si="33">F253</f>
        <v>0</v>
      </c>
      <c r="G254" s="629">
        <f t="shared" ref="G254:G268" si="34">G253</f>
        <v>0</v>
      </c>
      <c r="H254" s="629">
        <f t="shared" ref="H254:H268" si="35">H253</f>
        <v>0</v>
      </c>
      <c r="I254" s="629">
        <f t="shared" si="28"/>
        <v>0</v>
      </c>
      <c r="J254" s="629">
        <f t="shared" si="29"/>
        <v>0</v>
      </c>
      <c r="K254" s="629">
        <f t="shared" si="30"/>
        <v>0</v>
      </c>
      <c r="L254" s="630" t="e">
        <f t="shared" si="16"/>
        <v>#DIV/0!</v>
      </c>
      <c r="M254" s="630" t="e">
        <f t="shared" si="17"/>
        <v>#DIV/0!</v>
      </c>
      <c r="N254" s="195"/>
      <c r="O254" s="615">
        <f t="shared" si="31"/>
        <v>360</v>
      </c>
      <c r="P254" s="236" t="e">
        <f t="shared" si="18"/>
        <v>#DIV/0!</v>
      </c>
      <c r="Q254" s="195" t="e">
        <f t="shared" si="19"/>
        <v>#DIV/0!</v>
      </c>
      <c r="R254" s="195"/>
      <c r="S254" s="327" t="e">
        <f t="shared" si="20"/>
        <v>#DIV/0!</v>
      </c>
      <c r="T254" s="327" t="e">
        <f t="shared" si="21"/>
        <v>#DIV/0!</v>
      </c>
      <c r="U254" s="195"/>
      <c r="V254" s="197"/>
      <c r="W254" s="185"/>
      <c r="X254" s="141"/>
      <c r="Z254" s="187"/>
      <c r="AA254" s="187"/>
    </row>
    <row r="255" spans="1:27" s="186" customFormat="1" ht="15" customHeight="1">
      <c r="A255" s="215"/>
      <c r="B255" s="213" t="s">
        <v>412</v>
      </c>
      <c r="C255" s="298">
        <f>IF(R223="Inclinado",C254+2*SIN(RADIANS(Q223))*(I254+N223),C254+2*TAN(RADIANS(Q223))*(I254+N223))</f>
        <v>0</v>
      </c>
      <c r="D255" s="629">
        <f t="shared" si="23"/>
        <v>0</v>
      </c>
      <c r="E255" s="629">
        <f t="shared" si="32"/>
        <v>0</v>
      </c>
      <c r="F255" s="629">
        <f t="shared" si="33"/>
        <v>0</v>
      </c>
      <c r="G255" s="629">
        <f t="shared" si="34"/>
        <v>0</v>
      </c>
      <c r="H255" s="629">
        <f t="shared" si="35"/>
        <v>0</v>
      </c>
      <c r="I255" s="629">
        <f t="shared" si="28"/>
        <v>0</v>
      </c>
      <c r="J255" s="629">
        <f t="shared" si="29"/>
        <v>0</v>
      </c>
      <c r="K255" s="629">
        <f t="shared" si="30"/>
        <v>0</v>
      </c>
      <c r="L255" s="630" t="e">
        <f t="shared" si="16"/>
        <v>#DIV/0!</v>
      </c>
      <c r="M255" s="630" t="e">
        <f t="shared" si="17"/>
        <v>#DIV/0!</v>
      </c>
      <c r="N255" s="195"/>
      <c r="O255" s="615">
        <f t="shared" si="31"/>
        <v>360</v>
      </c>
      <c r="P255" s="236" t="e">
        <f t="shared" si="18"/>
        <v>#DIV/0!</v>
      </c>
      <c r="Q255" s="195" t="e">
        <f t="shared" si="19"/>
        <v>#DIV/0!</v>
      </c>
      <c r="R255" s="195"/>
      <c r="S255" s="327" t="e">
        <f t="shared" si="20"/>
        <v>#DIV/0!</v>
      </c>
      <c r="T255" s="327" t="e">
        <f t="shared" si="21"/>
        <v>#DIV/0!</v>
      </c>
      <c r="U255" s="195"/>
      <c r="V255" s="197"/>
      <c r="W255" s="185"/>
      <c r="X255" s="141"/>
      <c r="Z255" s="187"/>
      <c r="AA255" s="187"/>
    </row>
    <row r="256" spans="1:27" s="186" customFormat="1" ht="15" customHeight="1">
      <c r="A256" s="215"/>
      <c r="B256" s="213" t="s">
        <v>413</v>
      </c>
      <c r="C256" s="298">
        <f>IF(R223="Inclinado",C255+2*SIN(RADIANS(Q223))*(I255+N223),C255+2*TAN(RADIANS(Q223))*(I255+N223))</f>
        <v>0</v>
      </c>
      <c r="D256" s="629">
        <f t="shared" si="23"/>
        <v>0</v>
      </c>
      <c r="E256" s="629">
        <f t="shared" si="32"/>
        <v>0</v>
      </c>
      <c r="F256" s="629">
        <f t="shared" si="33"/>
        <v>0</v>
      </c>
      <c r="G256" s="629">
        <f t="shared" si="34"/>
        <v>0</v>
      </c>
      <c r="H256" s="629">
        <f t="shared" si="35"/>
        <v>0</v>
      </c>
      <c r="I256" s="629">
        <f t="shared" si="28"/>
        <v>0</v>
      </c>
      <c r="J256" s="629">
        <f t="shared" si="29"/>
        <v>0</v>
      </c>
      <c r="K256" s="629">
        <f t="shared" si="30"/>
        <v>0</v>
      </c>
      <c r="L256" s="630" t="e">
        <f t="shared" si="16"/>
        <v>#DIV/0!</v>
      </c>
      <c r="M256" s="630" t="e">
        <f t="shared" si="17"/>
        <v>#DIV/0!</v>
      </c>
      <c r="N256" s="195"/>
      <c r="O256" s="615">
        <f t="shared" si="31"/>
        <v>360</v>
      </c>
      <c r="P256" s="236" t="e">
        <f t="shared" si="18"/>
        <v>#DIV/0!</v>
      </c>
      <c r="Q256" s="195" t="e">
        <f t="shared" si="19"/>
        <v>#DIV/0!</v>
      </c>
      <c r="R256" s="195"/>
      <c r="S256" s="327" t="e">
        <f t="shared" si="20"/>
        <v>#DIV/0!</v>
      </c>
      <c r="T256" s="327" t="e">
        <f t="shared" si="21"/>
        <v>#DIV/0!</v>
      </c>
      <c r="U256" s="195"/>
      <c r="V256" s="197"/>
      <c r="W256" s="185"/>
      <c r="X256" s="141"/>
      <c r="Z256" s="187"/>
      <c r="AA256" s="187"/>
    </row>
    <row r="257" spans="1:27" s="186" customFormat="1" ht="15" customHeight="1">
      <c r="A257" s="215"/>
      <c r="B257" s="213" t="s">
        <v>414</v>
      </c>
      <c r="C257" s="298">
        <f>IF(R223="Inclinado",C256+2*SIN(RADIANS(Q223))*(I256+N223),C256+2*TAN(RADIANS(Q223))*(I256+N223))</f>
        <v>0</v>
      </c>
      <c r="D257" s="629">
        <f t="shared" si="23"/>
        <v>0</v>
      </c>
      <c r="E257" s="629">
        <f t="shared" si="32"/>
        <v>0</v>
      </c>
      <c r="F257" s="629">
        <f t="shared" si="33"/>
        <v>0</v>
      </c>
      <c r="G257" s="629">
        <f t="shared" si="34"/>
        <v>0</v>
      </c>
      <c r="H257" s="629">
        <f t="shared" si="35"/>
        <v>0</v>
      </c>
      <c r="I257" s="629">
        <f t="shared" si="28"/>
        <v>0</v>
      </c>
      <c r="J257" s="629">
        <f t="shared" si="29"/>
        <v>0</v>
      </c>
      <c r="K257" s="629">
        <f t="shared" si="30"/>
        <v>0</v>
      </c>
      <c r="L257" s="630" t="e">
        <f t="shared" si="16"/>
        <v>#DIV/0!</v>
      </c>
      <c r="M257" s="630" t="e">
        <f t="shared" si="17"/>
        <v>#DIV/0!</v>
      </c>
      <c r="N257" s="195"/>
      <c r="O257" s="615">
        <f t="shared" si="31"/>
        <v>360</v>
      </c>
      <c r="P257" s="236" t="e">
        <f t="shared" si="18"/>
        <v>#DIV/0!</v>
      </c>
      <c r="Q257" s="195" t="e">
        <f t="shared" si="19"/>
        <v>#DIV/0!</v>
      </c>
      <c r="R257" s="195"/>
      <c r="S257" s="327" t="e">
        <f t="shared" si="20"/>
        <v>#DIV/0!</v>
      </c>
      <c r="T257" s="327" t="e">
        <f t="shared" si="21"/>
        <v>#DIV/0!</v>
      </c>
      <c r="U257" s="195"/>
      <c r="V257" s="197"/>
      <c r="W257" s="185"/>
      <c r="X257" s="141"/>
      <c r="Z257" s="187"/>
      <c r="AA257" s="187"/>
    </row>
    <row r="258" spans="1:27" s="186" customFormat="1" ht="15" customHeight="1">
      <c r="A258" s="215"/>
      <c r="B258" s="213" t="s">
        <v>415</v>
      </c>
      <c r="C258" s="298">
        <f>IF(R223="Inclinado",C257+2*SIN(RADIANS(Q223))*(I257+N223),C257+2*TAN(RADIANS(Q223))*(I257+N223))</f>
        <v>0</v>
      </c>
      <c r="D258" s="629">
        <f t="shared" si="23"/>
        <v>0</v>
      </c>
      <c r="E258" s="629">
        <f t="shared" si="32"/>
        <v>0</v>
      </c>
      <c r="F258" s="629">
        <f t="shared" si="33"/>
        <v>0</v>
      </c>
      <c r="G258" s="629">
        <f t="shared" si="34"/>
        <v>0</v>
      </c>
      <c r="H258" s="629">
        <f t="shared" si="35"/>
        <v>0</v>
      </c>
      <c r="I258" s="629">
        <f t="shared" si="28"/>
        <v>0</v>
      </c>
      <c r="J258" s="629">
        <f t="shared" si="29"/>
        <v>0</v>
      </c>
      <c r="K258" s="629">
        <f t="shared" si="30"/>
        <v>0</v>
      </c>
      <c r="L258" s="630" t="e">
        <f t="shared" si="16"/>
        <v>#DIV/0!</v>
      </c>
      <c r="M258" s="630" t="e">
        <f t="shared" si="17"/>
        <v>#DIV/0!</v>
      </c>
      <c r="N258" s="195"/>
      <c r="O258" s="615">
        <f t="shared" si="31"/>
        <v>360</v>
      </c>
      <c r="P258" s="236" t="e">
        <f t="shared" si="18"/>
        <v>#DIV/0!</v>
      </c>
      <c r="Q258" s="195" t="e">
        <f t="shared" si="19"/>
        <v>#DIV/0!</v>
      </c>
      <c r="R258" s="195"/>
      <c r="S258" s="327" t="e">
        <f t="shared" si="20"/>
        <v>#DIV/0!</v>
      </c>
      <c r="T258" s="327" t="e">
        <f t="shared" si="21"/>
        <v>#DIV/0!</v>
      </c>
      <c r="U258" s="195"/>
      <c r="V258" s="197"/>
      <c r="W258" s="185"/>
      <c r="X258" s="141"/>
      <c r="Z258" s="187"/>
      <c r="AA258" s="187"/>
    </row>
    <row r="259" spans="1:27" s="186" customFormat="1" ht="15" customHeight="1">
      <c r="A259" s="215"/>
      <c r="B259" s="213" t="s">
        <v>416</v>
      </c>
      <c r="C259" s="298">
        <f>IF(R223="Inclinado",C258+2*SIN(RADIANS(Q223))*(I258+N223),C258+2*TAN(RADIANS(Q223))*(I258+N223))</f>
        <v>0</v>
      </c>
      <c r="D259" s="629">
        <f t="shared" si="23"/>
        <v>0</v>
      </c>
      <c r="E259" s="629">
        <f t="shared" si="32"/>
        <v>0</v>
      </c>
      <c r="F259" s="629">
        <f t="shared" si="33"/>
        <v>0</v>
      </c>
      <c r="G259" s="629">
        <f t="shared" si="34"/>
        <v>0</v>
      </c>
      <c r="H259" s="629">
        <f t="shared" si="35"/>
        <v>0</v>
      </c>
      <c r="I259" s="629">
        <f t="shared" si="28"/>
        <v>0</v>
      </c>
      <c r="J259" s="629">
        <f t="shared" si="29"/>
        <v>0</v>
      </c>
      <c r="K259" s="629">
        <f t="shared" si="30"/>
        <v>0</v>
      </c>
      <c r="L259" s="630" t="e">
        <f t="shared" si="16"/>
        <v>#DIV/0!</v>
      </c>
      <c r="M259" s="630" t="e">
        <f t="shared" si="17"/>
        <v>#DIV/0!</v>
      </c>
      <c r="N259" s="195"/>
      <c r="O259" s="615">
        <f t="shared" si="31"/>
        <v>360</v>
      </c>
      <c r="P259" s="236" t="e">
        <f t="shared" si="18"/>
        <v>#DIV/0!</v>
      </c>
      <c r="Q259" s="195" t="e">
        <f t="shared" si="19"/>
        <v>#DIV/0!</v>
      </c>
      <c r="R259" s="195"/>
      <c r="S259" s="327" t="e">
        <f t="shared" si="20"/>
        <v>#DIV/0!</v>
      </c>
      <c r="T259" s="327" t="e">
        <f>((F259*(L259+K259)+H259*(M259+K259))/PI()-(C259-(J259*2)))/(P259+Q259)</f>
        <v>#DIV/0!</v>
      </c>
      <c r="U259" s="195"/>
      <c r="V259" s="197"/>
      <c r="W259" s="185"/>
      <c r="X259" s="141"/>
      <c r="Z259" s="187"/>
      <c r="AA259" s="187"/>
    </row>
    <row r="260" spans="1:27" s="186" customFormat="1" ht="15" customHeight="1">
      <c r="A260" s="215"/>
      <c r="B260" s="213" t="s">
        <v>417</v>
      </c>
      <c r="C260" s="298">
        <f>IF(R223="Inclinado",C259+2*SIN(RADIANS(Q223))*(I259+N223),C259+2*TAN(RADIANS(Q223))*(I259+N223))</f>
        <v>0</v>
      </c>
      <c r="D260" s="629">
        <f t="shared" si="23"/>
        <v>0</v>
      </c>
      <c r="E260" s="629">
        <f t="shared" si="32"/>
        <v>0</v>
      </c>
      <c r="F260" s="629">
        <f t="shared" si="33"/>
        <v>0</v>
      </c>
      <c r="G260" s="629">
        <f t="shared" si="34"/>
        <v>0</v>
      </c>
      <c r="H260" s="629">
        <f t="shared" si="35"/>
        <v>0</v>
      </c>
      <c r="I260" s="629">
        <f t="shared" si="28"/>
        <v>0</v>
      </c>
      <c r="J260" s="629">
        <f t="shared" si="29"/>
        <v>0</v>
      </c>
      <c r="K260" s="629">
        <f t="shared" si="30"/>
        <v>0</v>
      </c>
      <c r="L260" s="630" t="e">
        <f t="shared" si="16"/>
        <v>#DIV/0!</v>
      </c>
      <c r="M260" s="630" t="e">
        <f t="shared" si="17"/>
        <v>#DIV/0!</v>
      </c>
      <c r="N260" s="195"/>
      <c r="O260" s="615">
        <f t="shared" si="31"/>
        <v>360</v>
      </c>
      <c r="P260" s="236" t="e">
        <f t="shared" si="18"/>
        <v>#DIV/0!</v>
      </c>
      <c r="Q260" s="195" t="e">
        <f t="shared" si="19"/>
        <v>#DIV/0!</v>
      </c>
      <c r="R260" s="195"/>
      <c r="S260" s="327" t="e">
        <f t="shared" si="20"/>
        <v>#DIV/0!</v>
      </c>
      <c r="T260" s="327" t="e">
        <f t="shared" si="21"/>
        <v>#DIV/0!</v>
      </c>
      <c r="U260" s="195"/>
      <c r="V260" s="197"/>
      <c r="W260" s="185"/>
      <c r="X260" s="141"/>
      <c r="Z260" s="187"/>
      <c r="AA260" s="187"/>
    </row>
    <row r="261" spans="1:27" s="186" customFormat="1" ht="15" customHeight="1">
      <c r="A261" s="215"/>
      <c r="B261" s="213" t="s">
        <v>418</v>
      </c>
      <c r="C261" s="298">
        <f>IF(R223="Inclinado",C260+2*SIN(RADIANS(Q223))*(I260+N223),C260+2*TAN(RADIANS(Q223))*(I260+N223))</f>
        <v>0</v>
      </c>
      <c r="D261" s="629">
        <f t="shared" si="23"/>
        <v>0</v>
      </c>
      <c r="E261" s="629">
        <f t="shared" si="32"/>
        <v>0</v>
      </c>
      <c r="F261" s="629">
        <f t="shared" si="33"/>
        <v>0</v>
      </c>
      <c r="G261" s="629">
        <f t="shared" si="34"/>
        <v>0</v>
      </c>
      <c r="H261" s="629">
        <f t="shared" si="35"/>
        <v>0</v>
      </c>
      <c r="I261" s="629">
        <f t="shared" si="28"/>
        <v>0</v>
      </c>
      <c r="J261" s="629">
        <f t="shared" si="29"/>
        <v>0</v>
      </c>
      <c r="K261" s="629">
        <f t="shared" si="30"/>
        <v>0</v>
      </c>
      <c r="L261" s="630" t="e">
        <f t="shared" si="16"/>
        <v>#DIV/0!</v>
      </c>
      <c r="M261" s="630" t="e">
        <f t="shared" si="17"/>
        <v>#DIV/0!</v>
      </c>
      <c r="N261" s="195"/>
      <c r="O261" s="615">
        <f t="shared" si="31"/>
        <v>360</v>
      </c>
      <c r="P261" s="236" t="e">
        <f t="shared" si="18"/>
        <v>#DIV/0!</v>
      </c>
      <c r="Q261" s="195" t="e">
        <f t="shared" si="19"/>
        <v>#DIV/0!</v>
      </c>
      <c r="R261" s="195"/>
      <c r="S261" s="327" t="e">
        <f t="shared" si="20"/>
        <v>#DIV/0!</v>
      </c>
      <c r="T261" s="327" t="e">
        <f t="shared" si="21"/>
        <v>#DIV/0!</v>
      </c>
      <c r="U261" s="195"/>
      <c r="V261" s="197"/>
      <c r="W261" s="185"/>
      <c r="X261" s="141"/>
      <c r="Z261" s="187"/>
      <c r="AA261" s="187"/>
    </row>
    <row r="262" spans="1:27" s="186" customFormat="1" ht="15" customHeight="1">
      <c r="A262" s="215"/>
      <c r="B262" s="213" t="s">
        <v>419</v>
      </c>
      <c r="C262" s="298">
        <f>IF(R223="Inclinado",C261+2*SIN(RADIANS(Q223))*(I261+N223),C261+2*TAN(RADIANS(Q223))*(I261+N223))</f>
        <v>0</v>
      </c>
      <c r="D262" s="629">
        <f t="shared" si="23"/>
        <v>0</v>
      </c>
      <c r="E262" s="629">
        <f t="shared" si="32"/>
        <v>0</v>
      </c>
      <c r="F262" s="629">
        <f t="shared" si="33"/>
        <v>0</v>
      </c>
      <c r="G262" s="629">
        <f t="shared" si="34"/>
        <v>0</v>
      </c>
      <c r="H262" s="629">
        <f t="shared" si="35"/>
        <v>0</v>
      </c>
      <c r="I262" s="629">
        <f t="shared" si="28"/>
        <v>0</v>
      </c>
      <c r="J262" s="629">
        <f t="shared" si="29"/>
        <v>0</v>
      </c>
      <c r="K262" s="629">
        <f t="shared" si="30"/>
        <v>0</v>
      </c>
      <c r="L262" s="630" t="e">
        <f t="shared" si="16"/>
        <v>#DIV/0!</v>
      </c>
      <c r="M262" s="630" t="e">
        <f t="shared" si="17"/>
        <v>#DIV/0!</v>
      </c>
      <c r="N262" s="195"/>
      <c r="O262" s="615">
        <f t="shared" si="31"/>
        <v>360</v>
      </c>
      <c r="P262" s="236" t="e">
        <f t="shared" si="18"/>
        <v>#DIV/0!</v>
      </c>
      <c r="Q262" s="195" t="e">
        <f t="shared" si="19"/>
        <v>#DIV/0!</v>
      </c>
      <c r="R262" s="195"/>
      <c r="S262" s="327" t="e">
        <f t="shared" si="20"/>
        <v>#DIV/0!</v>
      </c>
      <c r="T262" s="327" t="e">
        <f t="shared" si="21"/>
        <v>#DIV/0!</v>
      </c>
      <c r="U262" s="195"/>
      <c r="V262" s="197"/>
      <c r="W262" s="185"/>
      <c r="X262" s="141"/>
      <c r="Z262" s="187"/>
      <c r="AA262" s="187"/>
    </row>
    <row r="263" spans="1:27" s="186" customFormat="1" ht="15" customHeight="1">
      <c r="A263" s="215"/>
      <c r="B263" s="213" t="s">
        <v>420</v>
      </c>
      <c r="C263" s="298">
        <f>IF(R223="Inclinado",C262+2*SIN(RADIANS(Q223))*(I262+N223),C262+2*TAN(RADIANS(Q223))*(I262+N223))</f>
        <v>0</v>
      </c>
      <c r="D263" s="629">
        <f t="shared" si="23"/>
        <v>0</v>
      </c>
      <c r="E263" s="629">
        <f t="shared" si="32"/>
        <v>0</v>
      </c>
      <c r="F263" s="629">
        <f t="shared" si="33"/>
        <v>0</v>
      </c>
      <c r="G263" s="629">
        <f t="shared" si="34"/>
        <v>0</v>
      </c>
      <c r="H263" s="629">
        <f t="shared" si="35"/>
        <v>0</v>
      </c>
      <c r="I263" s="629">
        <f t="shared" si="28"/>
        <v>0</v>
      </c>
      <c r="J263" s="629">
        <f t="shared" si="29"/>
        <v>0</v>
      </c>
      <c r="K263" s="629">
        <f t="shared" si="30"/>
        <v>0</v>
      </c>
      <c r="L263" s="630" t="e">
        <f t="shared" si="16"/>
        <v>#DIV/0!</v>
      </c>
      <c r="M263" s="630" t="e">
        <f t="shared" si="17"/>
        <v>#DIV/0!</v>
      </c>
      <c r="N263" s="195"/>
      <c r="O263" s="615">
        <f t="shared" si="31"/>
        <v>360</v>
      </c>
      <c r="P263" s="236" t="e">
        <f t="shared" si="18"/>
        <v>#DIV/0!</v>
      </c>
      <c r="Q263" s="195" t="e">
        <f t="shared" si="19"/>
        <v>#DIV/0!</v>
      </c>
      <c r="R263" s="195"/>
      <c r="S263" s="327" t="e">
        <f t="shared" si="20"/>
        <v>#DIV/0!</v>
      </c>
      <c r="T263" s="327" t="e">
        <f t="shared" si="21"/>
        <v>#DIV/0!</v>
      </c>
      <c r="U263" s="195"/>
      <c r="V263" s="197"/>
      <c r="W263" s="185"/>
      <c r="X263" s="141"/>
      <c r="Z263" s="187"/>
      <c r="AA263" s="187"/>
    </row>
    <row r="264" spans="1:27" s="186" customFormat="1" ht="15" customHeight="1">
      <c r="A264" s="215"/>
      <c r="B264" s="213" t="s">
        <v>990</v>
      </c>
      <c r="C264" s="298">
        <f>IF(R223="Inclinado",C263+2*SIN(RADIANS(Q223))*(I263+N223),C263+2*TAN(RADIANS(Q223))*(I263+N223))</f>
        <v>0</v>
      </c>
      <c r="D264" s="629">
        <f t="shared" si="23"/>
        <v>0</v>
      </c>
      <c r="E264" s="629">
        <f t="shared" si="32"/>
        <v>0</v>
      </c>
      <c r="F264" s="629">
        <f t="shared" si="33"/>
        <v>0</v>
      </c>
      <c r="G264" s="629">
        <f t="shared" si="34"/>
        <v>0</v>
      </c>
      <c r="H264" s="629">
        <f t="shared" si="35"/>
        <v>0</v>
      </c>
      <c r="I264" s="629">
        <f t="shared" si="28"/>
        <v>0</v>
      </c>
      <c r="J264" s="629">
        <f t="shared" si="29"/>
        <v>0</v>
      </c>
      <c r="K264" s="629">
        <f t="shared" si="30"/>
        <v>0</v>
      </c>
      <c r="L264" s="630" t="e">
        <f t="shared" si="16"/>
        <v>#DIV/0!</v>
      </c>
      <c r="M264" s="630" t="e">
        <f t="shared" si="17"/>
        <v>#DIV/0!</v>
      </c>
      <c r="N264" s="195"/>
      <c r="O264" s="615">
        <f t="shared" si="31"/>
        <v>360</v>
      </c>
      <c r="P264" s="236" t="e">
        <f t="shared" si="18"/>
        <v>#DIV/0!</v>
      </c>
      <c r="Q264" s="195" t="e">
        <f t="shared" si="19"/>
        <v>#DIV/0!</v>
      </c>
      <c r="R264" s="195"/>
      <c r="S264" s="327" t="e">
        <f t="shared" si="20"/>
        <v>#DIV/0!</v>
      </c>
      <c r="T264" s="327" t="e">
        <f t="shared" si="21"/>
        <v>#DIV/0!</v>
      </c>
      <c r="U264" s="195"/>
      <c r="V264" s="197"/>
      <c r="W264" s="185"/>
      <c r="X264" s="141"/>
      <c r="Z264" s="187"/>
      <c r="AA264" s="187"/>
    </row>
    <row r="265" spans="1:27" s="186" customFormat="1" ht="15" customHeight="1">
      <c r="A265" s="215"/>
      <c r="B265" s="213" t="s">
        <v>991</v>
      </c>
      <c r="C265" s="298">
        <f>IF(R223="Inclinado",C264+2*SIN(RADIANS(Q223))*(I264+N223),C264+2*TAN(RADIANS(Q223))*(I264+N223))</f>
        <v>0</v>
      </c>
      <c r="D265" s="629">
        <f t="shared" si="23"/>
        <v>0</v>
      </c>
      <c r="E265" s="629">
        <f t="shared" si="32"/>
        <v>0</v>
      </c>
      <c r="F265" s="629">
        <f t="shared" si="33"/>
        <v>0</v>
      </c>
      <c r="G265" s="629">
        <f t="shared" si="34"/>
        <v>0</v>
      </c>
      <c r="H265" s="629">
        <f t="shared" si="35"/>
        <v>0</v>
      </c>
      <c r="I265" s="629">
        <f t="shared" si="28"/>
        <v>0</v>
      </c>
      <c r="J265" s="629">
        <f t="shared" si="29"/>
        <v>0</v>
      </c>
      <c r="K265" s="629">
        <f t="shared" si="30"/>
        <v>0</v>
      </c>
      <c r="L265" s="630" t="e">
        <f t="shared" si="16"/>
        <v>#DIV/0!</v>
      </c>
      <c r="M265" s="630" t="e">
        <f t="shared" si="17"/>
        <v>#DIV/0!</v>
      </c>
      <c r="N265" s="195"/>
      <c r="O265" s="615">
        <f t="shared" si="31"/>
        <v>360</v>
      </c>
      <c r="P265" s="236" t="e">
        <f t="shared" si="18"/>
        <v>#DIV/0!</v>
      </c>
      <c r="Q265" s="195" t="e">
        <f t="shared" si="19"/>
        <v>#DIV/0!</v>
      </c>
      <c r="R265" s="195"/>
      <c r="S265" s="327" t="e">
        <f t="shared" si="20"/>
        <v>#DIV/0!</v>
      </c>
      <c r="T265" s="327" t="e">
        <f t="shared" si="21"/>
        <v>#DIV/0!</v>
      </c>
      <c r="U265" s="195"/>
      <c r="V265" s="197"/>
      <c r="W265" s="185"/>
      <c r="X265" s="141"/>
      <c r="Z265" s="187"/>
      <c r="AA265" s="187"/>
    </row>
    <row r="266" spans="1:27" s="186" customFormat="1" ht="15" customHeight="1">
      <c r="A266" s="215"/>
      <c r="B266" s="213" t="s">
        <v>992</v>
      </c>
      <c r="C266" s="298">
        <f>IF(R223="Inclinado",C265+2*SIN(RADIANS(Q223))*(I265+N223),C265+2*TAN(RADIANS(Q223))*(I265+N223))</f>
        <v>0</v>
      </c>
      <c r="D266" s="629">
        <f t="shared" si="23"/>
        <v>0</v>
      </c>
      <c r="E266" s="629">
        <f t="shared" si="32"/>
        <v>0</v>
      </c>
      <c r="F266" s="629">
        <f t="shared" si="33"/>
        <v>0</v>
      </c>
      <c r="G266" s="629">
        <f t="shared" si="34"/>
        <v>0</v>
      </c>
      <c r="H266" s="629">
        <f t="shared" si="35"/>
        <v>0</v>
      </c>
      <c r="I266" s="629">
        <f t="shared" si="28"/>
        <v>0</v>
      </c>
      <c r="J266" s="629">
        <f t="shared" si="29"/>
        <v>0</v>
      </c>
      <c r="K266" s="629">
        <f t="shared" si="30"/>
        <v>0</v>
      </c>
      <c r="L266" s="630" t="e">
        <f t="shared" ref="L266:L283" si="36">(1/(-(E266+K266)*(H266+K266)+(F266+K266)*(G266+K266)))*3.1416*(-C266*(H266+K266)+(C266-(J266*2))*(G266+K266))</f>
        <v>#DIV/0!</v>
      </c>
      <c r="M266" s="630" t="e">
        <f t="shared" ref="M266:M283" si="37">((C266*PI())-(L266*(E266+K266)))/(G266+K266)</f>
        <v>#DIV/0!</v>
      </c>
      <c r="N266" s="195"/>
      <c r="O266" s="615">
        <f t="shared" si="31"/>
        <v>360</v>
      </c>
      <c r="P266" s="236" t="e">
        <f t="shared" ref="P266:P283" si="38">IF(L266/360*O266-ROUNDDOWN(L266/360*O266,0)&gt;M266/360*O266-ROUNDDOWN(M266/360*O266,0),ROUNDUP(L266/360*O266,0),ROUNDUP(SUM(L266/360*O266,M266/360*O266),0)-ROUNDUP(M266/360*O266,0))</f>
        <v>#DIV/0!</v>
      </c>
      <c r="Q266" s="195" t="e">
        <f t="shared" ref="Q266:Q283" si="39">IF(M266/360*O266-ROUNDDOWN(M266/360*O266,0)&gt;L266/360*O266-ROUNDDOWN(L266/360*O266,0),ROUNDUP(M266/360*O266,0),ROUNDUP(SUM(L266/360*O266,M266/360*O266),0)-ROUNDUP(L266/360*O266,0))</f>
        <v>#DIV/0!</v>
      </c>
      <c r="R266" s="195"/>
      <c r="S266" s="327" t="e">
        <f t="shared" ref="S266:S283" si="40">((E266*(L266+K266)+G266*(M266+K266))/PI()-C266)/(P266+Q266)</f>
        <v>#DIV/0!</v>
      </c>
      <c r="T266" s="327" t="e">
        <f t="shared" ref="T266:T283" si="41">((F266*(L266+K266)+H266*(M266+K266))/PI()-(C266-(J266*2)))/(P266+Q266)</f>
        <v>#DIV/0!</v>
      </c>
      <c r="U266" s="195"/>
      <c r="V266" s="197"/>
      <c r="W266" s="185"/>
      <c r="X266" s="141"/>
      <c r="Z266" s="187"/>
      <c r="AA266" s="187"/>
    </row>
    <row r="267" spans="1:27" s="186" customFormat="1" ht="15" customHeight="1">
      <c r="A267" s="215"/>
      <c r="B267" s="213" t="s">
        <v>993</v>
      </c>
      <c r="C267" s="298">
        <f>IF(R223="Inclinado",C266+2*SIN(RADIANS(Q223))*(I266+N223),C266+2*TAN(RADIANS(Q223))*(I266+N223))</f>
        <v>0</v>
      </c>
      <c r="D267" s="629">
        <f t="shared" si="23"/>
        <v>0</v>
      </c>
      <c r="E267" s="629">
        <f t="shared" si="32"/>
        <v>0</v>
      </c>
      <c r="F267" s="629">
        <f t="shared" si="33"/>
        <v>0</v>
      </c>
      <c r="G267" s="629">
        <f t="shared" si="34"/>
        <v>0</v>
      </c>
      <c r="H267" s="629">
        <f t="shared" si="35"/>
        <v>0</v>
      </c>
      <c r="I267" s="629">
        <f t="shared" si="28"/>
        <v>0</v>
      </c>
      <c r="J267" s="629">
        <f t="shared" si="29"/>
        <v>0</v>
      </c>
      <c r="K267" s="629">
        <f t="shared" si="30"/>
        <v>0</v>
      </c>
      <c r="L267" s="630" t="e">
        <f t="shared" si="36"/>
        <v>#DIV/0!</v>
      </c>
      <c r="M267" s="630" t="e">
        <f t="shared" si="37"/>
        <v>#DIV/0!</v>
      </c>
      <c r="N267" s="195"/>
      <c r="O267" s="615">
        <f t="shared" si="31"/>
        <v>360</v>
      </c>
      <c r="P267" s="236" t="e">
        <f t="shared" si="38"/>
        <v>#DIV/0!</v>
      </c>
      <c r="Q267" s="195" t="e">
        <f t="shared" si="39"/>
        <v>#DIV/0!</v>
      </c>
      <c r="R267" s="195"/>
      <c r="S267" s="327" t="e">
        <f t="shared" si="40"/>
        <v>#DIV/0!</v>
      </c>
      <c r="T267" s="327" t="e">
        <f t="shared" si="41"/>
        <v>#DIV/0!</v>
      </c>
      <c r="U267" s="195"/>
      <c r="V267" s="197"/>
      <c r="W267" s="185"/>
      <c r="X267" s="141"/>
      <c r="Z267" s="187"/>
      <c r="AA267" s="187"/>
    </row>
    <row r="268" spans="1:27" s="186" customFormat="1" ht="15" customHeight="1">
      <c r="A268" s="215"/>
      <c r="B268" s="213" t="s">
        <v>994</v>
      </c>
      <c r="C268" s="298">
        <f>IF(R223="Inclinado",C267+2*SIN(RADIANS(Q223))*(I267+N223),C267+2*TAN(RADIANS(Q223))*(I267+N223))</f>
        <v>0</v>
      </c>
      <c r="D268" s="629">
        <f t="shared" si="23"/>
        <v>0</v>
      </c>
      <c r="E268" s="629">
        <f t="shared" si="32"/>
        <v>0</v>
      </c>
      <c r="F268" s="629">
        <f t="shared" si="33"/>
        <v>0</v>
      </c>
      <c r="G268" s="629">
        <f t="shared" si="34"/>
        <v>0</v>
      </c>
      <c r="H268" s="629">
        <f t="shared" si="35"/>
        <v>0</v>
      </c>
      <c r="I268" s="629">
        <f t="shared" si="28"/>
        <v>0</v>
      </c>
      <c r="J268" s="629">
        <f t="shared" si="29"/>
        <v>0</v>
      </c>
      <c r="K268" s="629">
        <f t="shared" si="30"/>
        <v>0</v>
      </c>
      <c r="L268" s="630" t="e">
        <f t="shared" si="36"/>
        <v>#DIV/0!</v>
      </c>
      <c r="M268" s="630" t="e">
        <f t="shared" si="37"/>
        <v>#DIV/0!</v>
      </c>
      <c r="N268" s="195"/>
      <c r="O268" s="615">
        <f t="shared" si="31"/>
        <v>360</v>
      </c>
      <c r="P268" s="236" t="e">
        <f t="shared" si="38"/>
        <v>#DIV/0!</v>
      </c>
      <c r="Q268" s="195" t="e">
        <f t="shared" si="39"/>
        <v>#DIV/0!</v>
      </c>
      <c r="R268" s="195"/>
      <c r="S268" s="327" t="e">
        <f t="shared" si="40"/>
        <v>#DIV/0!</v>
      </c>
      <c r="T268" s="327" t="e">
        <f t="shared" si="41"/>
        <v>#DIV/0!</v>
      </c>
      <c r="U268" s="195"/>
      <c r="V268" s="197"/>
      <c r="W268" s="185"/>
      <c r="X268" s="141"/>
      <c r="Z268" s="187"/>
      <c r="AA268" s="187"/>
    </row>
    <row r="269" spans="1:27" s="186" customFormat="1" ht="15" customHeight="1">
      <c r="A269" s="215"/>
      <c r="B269" s="213" t="s">
        <v>995</v>
      </c>
      <c r="C269" s="298">
        <f>IF(R223="Inclinado",C268+2*SIN(RADIANS(Q223))*(I268+N223),C268+2*TAN(RADIANS(Q223))*(I268+N223))</f>
        <v>0</v>
      </c>
      <c r="D269" s="629">
        <f t="shared" si="23"/>
        <v>0</v>
      </c>
      <c r="E269" s="629">
        <f t="shared" ref="E269:E273" si="42">E268</f>
        <v>0</v>
      </c>
      <c r="F269" s="629">
        <f t="shared" ref="F269:F273" si="43">F268</f>
        <v>0</v>
      </c>
      <c r="G269" s="629">
        <f t="shared" ref="G269:G273" si="44">G268</f>
        <v>0</v>
      </c>
      <c r="H269" s="629">
        <f t="shared" ref="H269:H273" si="45">H268</f>
        <v>0</v>
      </c>
      <c r="I269" s="629">
        <f t="shared" si="28"/>
        <v>0</v>
      </c>
      <c r="J269" s="629">
        <f t="shared" si="29"/>
        <v>0</v>
      </c>
      <c r="K269" s="629">
        <f t="shared" si="30"/>
        <v>0</v>
      </c>
      <c r="L269" s="630" t="e">
        <f t="shared" si="36"/>
        <v>#DIV/0!</v>
      </c>
      <c r="M269" s="630" t="e">
        <f t="shared" si="37"/>
        <v>#DIV/0!</v>
      </c>
      <c r="N269" s="195"/>
      <c r="O269" s="615">
        <f t="shared" si="31"/>
        <v>360</v>
      </c>
      <c r="P269" s="236" t="e">
        <f t="shared" si="38"/>
        <v>#DIV/0!</v>
      </c>
      <c r="Q269" s="195" t="e">
        <f t="shared" si="39"/>
        <v>#DIV/0!</v>
      </c>
      <c r="R269" s="195"/>
      <c r="S269" s="327" t="e">
        <f t="shared" si="40"/>
        <v>#DIV/0!</v>
      </c>
      <c r="T269" s="327" t="e">
        <f t="shared" si="41"/>
        <v>#DIV/0!</v>
      </c>
      <c r="U269" s="195"/>
      <c r="V269" s="197"/>
      <c r="W269" s="185"/>
      <c r="X269" s="141"/>
      <c r="Z269" s="187"/>
      <c r="AA269" s="187"/>
    </row>
    <row r="270" spans="1:27" s="186" customFormat="1" ht="15" customHeight="1">
      <c r="A270" s="215"/>
      <c r="B270" s="213" t="s">
        <v>996</v>
      </c>
      <c r="C270" s="298">
        <f>IF(R223="Inclinado",C269+2*SIN(RADIANS(Q223))*(I269+N223),C269+2*TAN(RADIANS(Q223))*(I269+N223))</f>
        <v>0</v>
      </c>
      <c r="D270" s="629">
        <f t="shared" si="23"/>
        <v>0</v>
      </c>
      <c r="E270" s="629">
        <f t="shared" si="42"/>
        <v>0</v>
      </c>
      <c r="F270" s="629">
        <f t="shared" si="43"/>
        <v>0</v>
      </c>
      <c r="G270" s="629">
        <f t="shared" si="44"/>
        <v>0</v>
      </c>
      <c r="H270" s="629">
        <f t="shared" si="45"/>
        <v>0</v>
      </c>
      <c r="I270" s="629">
        <f t="shared" si="28"/>
        <v>0</v>
      </c>
      <c r="J270" s="629">
        <f t="shared" si="29"/>
        <v>0</v>
      </c>
      <c r="K270" s="629">
        <f t="shared" si="30"/>
        <v>0</v>
      </c>
      <c r="L270" s="630" t="e">
        <f t="shared" si="36"/>
        <v>#DIV/0!</v>
      </c>
      <c r="M270" s="630" t="e">
        <f t="shared" si="37"/>
        <v>#DIV/0!</v>
      </c>
      <c r="N270" s="195"/>
      <c r="O270" s="615">
        <f t="shared" si="31"/>
        <v>360</v>
      </c>
      <c r="P270" s="236" t="e">
        <f t="shared" si="38"/>
        <v>#DIV/0!</v>
      </c>
      <c r="Q270" s="195" t="e">
        <f t="shared" si="39"/>
        <v>#DIV/0!</v>
      </c>
      <c r="R270" s="195"/>
      <c r="S270" s="327" t="e">
        <f t="shared" si="40"/>
        <v>#DIV/0!</v>
      </c>
      <c r="T270" s="327" t="e">
        <f t="shared" si="41"/>
        <v>#DIV/0!</v>
      </c>
      <c r="U270" s="195"/>
      <c r="V270" s="197"/>
      <c r="W270" s="185"/>
      <c r="X270" s="141"/>
      <c r="Z270" s="187"/>
      <c r="AA270" s="187"/>
    </row>
    <row r="271" spans="1:27" s="186" customFormat="1" ht="15" customHeight="1">
      <c r="A271" s="215"/>
      <c r="B271" s="213" t="s">
        <v>997</v>
      </c>
      <c r="C271" s="298">
        <f>IF(R223="Inclinado",C270+2*SIN(RADIANS(Q223))*(I270+N223),C270+2*TAN(RADIANS(Q223))*(I270+N223))</f>
        <v>0</v>
      </c>
      <c r="D271" s="629">
        <f t="shared" si="23"/>
        <v>0</v>
      </c>
      <c r="E271" s="629">
        <f t="shared" si="42"/>
        <v>0</v>
      </c>
      <c r="F271" s="629">
        <f t="shared" si="43"/>
        <v>0</v>
      </c>
      <c r="G271" s="629">
        <f t="shared" si="44"/>
        <v>0</v>
      </c>
      <c r="H271" s="629">
        <f t="shared" si="45"/>
        <v>0</v>
      </c>
      <c r="I271" s="629">
        <f t="shared" si="28"/>
        <v>0</v>
      </c>
      <c r="J271" s="629">
        <f t="shared" si="29"/>
        <v>0</v>
      </c>
      <c r="K271" s="629">
        <f t="shared" si="30"/>
        <v>0</v>
      </c>
      <c r="L271" s="630" t="e">
        <f t="shared" si="36"/>
        <v>#DIV/0!</v>
      </c>
      <c r="M271" s="630" t="e">
        <f t="shared" si="37"/>
        <v>#DIV/0!</v>
      </c>
      <c r="N271" s="195"/>
      <c r="O271" s="615">
        <f t="shared" si="31"/>
        <v>360</v>
      </c>
      <c r="P271" s="236" t="e">
        <f t="shared" si="38"/>
        <v>#DIV/0!</v>
      </c>
      <c r="Q271" s="195" t="e">
        <f t="shared" si="39"/>
        <v>#DIV/0!</v>
      </c>
      <c r="R271" s="195"/>
      <c r="S271" s="327" t="e">
        <f t="shared" si="40"/>
        <v>#DIV/0!</v>
      </c>
      <c r="T271" s="327" t="e">
        <f t="shared" si="41"/>
        <v>#DIV/0!</v>
      </c>
      <c r="U271" s="195"/>
      <c r="V271" s="197"/>
      <c r="W271" s="185"/>
      <c r="X271" s="141"/>
      <c r="Z271" s="187"/>
      <c r="AA271" s="187"/>
    </row>
    <row r="272" spans="1:27" s="186" customFormat="1" ht="15" customHeight="1">
      <c r="A272" s="215"/>
      <c r="B272" s="213" t="s">
        <v>998</v>
      </c>
      <c r="C272" s="298">
        <f>IF(R223="Inclinado",C271+2*SIN(RADIANS(Q223))*(I271+N223),C271+2*TAN(RADIANS(Q223))*(I271+N223))</f>
        <v>0</v>
      </c>
      <c r="D272" s="629">
        <f t="shared" si="23"/>
        <v>0</v>
      </c>
      <c r="E272" s="629">
        <f t="shared" si="42"/>
        <v>0</v>
      </c>
      <c r="F272" s="629">
        <f t="shared" si="43"/>
        <v>0</v>
      </c>
      <c r="G272" s="629">
        <f t="shared" si="44"/>
        <v>0</v>
      </c>
      <c r="H272" s="629">
        <f t="shared" si="45"/>
        <v>0</v>
      </c>
      <c r="I272" s="629">
        <f t="shared" si="28"/>
        <v>0</v>
      </c>
      <c r="J272" s="629">
        <f t="shared" si="29"/>
        <v>0</v>
      </c>
      <c r="K272" s="629">
        <f t="shared" si="30"/>
        <v>0</v>
      </c>
      <c r="L272" s="630" t="e">
        <f t="shared" si="36"/>
        <v>#DIV/0!</v>
      </c>
      <c r="M272" s="630" t="e">
        <f t="shared" si="37"/>
        <v>#DIV/0!</v>
      </c>
      <c r="N272" s="195"/>
      <c r="O272" s="615">
        <f t="shared" si="31"/>
        <v>360</v>
      </c>
      <c r="P272" s="236" t="e">
        <f t="shared" si="38"/>
        <v>#DIV/0!</v>
      </c>
      <c r="Q272" s="195" t="e">
        <f t="shared" si="39"/>
        <v>#DIV/0!</v>
      </c>
      <c r="R272" s="195"/>
      <c r="S272" s="327" t="e">
        <f t="shared" si="40"/>
        <v>#DIV/0!</v>
      </c>
      <c r="T272" s="327" t="e">
        <f t="shared" si="41"/>
        <v>#DIV/0!</v>
      </c>
      <c r="U272" s="195"/>
      <c r="V272" s="197"/>
      <c r="W272" s="185"/>
      <c r="X272" s="141"/>
      <c r="Z272" s="187"/>
      <c r="AA272" s="187"/>
    </row>
    <row r="273" spans="1:27" s="186" customFormat="1" ht="15" customHeight="1">
      <c r="A273" s="215"/>
      <c r="B273" s="213" t="s">
        <v>999</v>
      </c>
      <c r="C273" s="298">
        <f>IF(R223="Inclinado",C272+2*SIN(RADIANS(Q223))*(I272+N223),C272+2*TAN(RADIANS(Q223))*(I272+N223))</f>
        <v>0</v>
      </c>
      <c r="D273" s="629">
        <f t="shared" si="23"/>
        <v>0</v>
      </c>
      <c r="E273" s="629">
        <f t="shared" si="42"/>
        <v>0</v>
      </c>
      <c r="F273" s="629">
        <f t="shared" si="43"/>
        <v>0</v>
      </c>
      <c r="G273" s="629">
        <f t="shared" si="44"/>
        <v>0</v>
      </c>
      <c r="H273" s="629">
        <f t="shared" si="45"/>
        <v>0</v>
      </c>
      <c r="I273" s="629">
        <f t="shared" si="28"/>
        <v>0</v>
      </c>
      <c r="J273" s="629">
        <f t="shared" si="29"/>
        <v>0</v>
      </c>
      <c r="K273" s="629">
        <f t="shared" si="30"/>
        <v>0</v>
      </c>
      <c r="L273" s="630" t="e">
        <f t="shared" si="36"/>
        <v>#DIV/0!</v>
      </c>
      <c r="M273" s="630" t="e">
        <f t="shared" si="37"/>
        <v>#DIV/0!</v>
      </c>
      <c r="N273" s="195"/>
      <c r="O273" s="615">
        <f t="shared" si="31"/>
        <v>360</v>
      </c>
      <c r="P273" s="236" t="e">
        <f t="shared" si="38"/>
        <v>#DIV/0!</v>
      </c>
      <c r="Q273" s="195" t="e">
        <f t="shared" si="39"/>
        <v>#DIV/0!</v>
      </c>
      <c r="R273" s="195"/>
      <c r="S273" s="327" t="e">
        <f t="shared" si="40"/>
        <v>#DIV/0!</v>
      </c>
      <c r="T273" s="327" t="e">
        <f t="shared" si="41"/>
        <v>#DIV/0!</v>
      </c>
      <c r="U273" s="195"/>
      <c r="V273" s="197"/>
      <c r="W273" s="185"/>
      <c r="X273" s="141"/>
      <c r="Z273" s="187"/>
      <c r="AA273" s="187"/>
    </row>
    <row r="274" spans="1:27" s="186" customFormat="1" ht="15" customHeight="1">
      <c r="A274" s="215"/>
      <c r="B274" s="213" t="s">
        <v>1000</v>
      </c>
      <c r="C274" s="298">
        <f>IF(R223="Inclinado",C273+2*SIN(RADIANS(Q223))*(I273+N223),C273+2*TAN(RADIANS(Q223))*(I273+N223))</f>
        <v>0</v>
      </c>
      <c r="D274" s="629">
        <f t="shared" si="23"/>
        <v>0</v>
      </c>
      <c r="E274" s="629">
        <f t="shared" ref="E274:E283" si="46">E273</f>
        <v>0</v>
      </c>
      <c r="F274" s="629">
        <f t="shared" ref="F274:F283" si="47">F273</f>
        <v>0</v>
      </c>
      <c r="G274" s="629">
        <f t="shared" ref="G274:G283" si="48">G273</f>
        <v>0</v>
      </c>
      <c r="H274" s="629">
        <f t="shared" ref="H274:H283" si="49">H273</f>
        <v>0</v>
      </c>
      <c r="I274" s="629">
        <f t="shared" si="28"/>
        <v>0</v>
      </c>
      <c r="J274" s="629">
        <f t="shared" si="29"/>
        <v>0</v>
      </c>
      <c r="K274" s="629">
        <f t="shared" si="30"/>
        <v>0</v>
      </c>
      <c r="L274" s="630" t="e">
        <f t="shared" si="36"/>
        <v>#DIV/0!</v>
      </c>
      <c r="M274" s="630" t="e">
        <f t="shared" si="37"/>
        <v>#DIV/0!</v>
      </c>
      <c r="N274" s="195"/>
      <c r="O274" s="615">
        <f t="shared" si="31"/>
        <v>360</v>
      </c>
      <c r="P274" s="236" t="e">
        <f t="shared" si="38"/>
        <v>#DIV/0!</v>
      </c>
      <c r="Q274" s="195" t="e">
        <f t="shared" si="39"/>
        <v>#DIV/0!</v>
      </c>
      <c r="R274" s="195"/>
      <c r="S274" s="327" t="e">
        <f t="shared" si="40"/>
        <v>#DIV/0!</v>
      </c>
      <c r="T274" s="327" t="e">
        <f t="shared" si="41"/>
        <v>#DIV/0!</v>
      </c>
      <c r="U274" s="195"/>
      <c r="V274" s="197"/>
      <c r="W274" s="185"/>
      <c r="X274" s="141"/>
      <c r="Z274" s="187"/>
      <c r="AA274" s="187"/>
    </row>
    <row r="275" spans="1:27" s="186" customFormat="1" ht="15" customHeight="1">
      <c r="A275" s="215"/>
      <c r="B275" s="213" t="s">
        <v>1001</v>
      </c>
      <c r="C275" s="298">
        <f>IF(R223="Inclinado",C274+2*SIN(RADIANS(Q223))*(I274+N223),C274+2*TAN(RADIANS(Q223))*(I274+N223))</f>
        <v>0</v>
      </c>
      <c r="D275" s="629">
        <f t="shared" si="23"/>
        <v>0</v>
      </c>
      <c r="E275" s="629">
        <f t="shared" si="46"/>
        <v>0</v>
      </c>
      <c r="F275" s="629">
        <f t="shared" si="47"/>
        <v>0</v>
      </c>
      <c r="G275" s="629">
        <f t="shared" si="48"/>
        <v>0</v>
      </c>
      <c r="H275" s="629">
        <f t="shared" si="49"/>
        <v>0</v>
      </c>
      <c r="I275" s="629">
        <f t="shared" si="28"/>
        <v>0</v>
      </c>
      <c r="J275" s="629">
        <f t="shared" si="29"/>
        <v>0</v>
      </c>
      <c r="K275" s="629">
        <f t="shared" si="30"/>
        <v>0</v>
      </c>
      <c r="L275" s="630" t="e">
        <f t="shared" si="36"/>
        <v>#DIV/0!</v>
      </c>
      <c r="M275" s="630" t="e">
        <f t="shared" si="37"/>
        <v>#DIV/0!</v>
      </c>
      <c r="N275" s="195"/>
      <c r="O275" s="615">
        <f t="shared" si="31"/>
        <v>360</v>
      </c>
      <c r="P275" s="236" t="e">
        <f t="shared" si="38"/>
        <v>#DIV/0!</v>
      </c>
      <c r="Q275" s="195" t="e">
        <f t="shared" si="39"/>
        <v>#DIV/0!</v>
      </c>
      <c r="R275" s="195"/>
      <c r="S275" s="327" t="e">
        <f t="shared" si="40"/>
        <v>#DIV/0!</v>
      </c>
      <c r="T275" s="327" t="e">
        <f t="shared" si="41"/>
        <v>#DIV/0!</v>
      </c>
      <c r="U275" s="195"/>
      <c r="V275" s="197"/>
      <c r="W275" s="185"/>
      <c r="X275" s="141"/>
      <c r="Z275" s="187"/>
      <c r="AA275" s="187"/>
    </row>
    <row r="276" spans="1:27" s="186" customFormat="1" ht="15" customHeight="1">
      <c r="A276" s="215"/>
      <c r="B276" s="213" t="s">
        <v>1002</v>
      </c>
      <c r="C276" s="298">
        <f>IF(R223="Inclinado",C275+2*SIN(RADIANS(Q223))*(I275+N223),C275+2*TAN(RADIANS(Q223))*(I275+N223))</f>
        <v>0</v>
      </c>
      <c r="D276" s="629">
        <f t="shared" si="23"/>
        <v>0</v>
      </c>
      <c r="E276" s="629">
        <f t="shared" si="46"/>
        <v>0</v>
      </c>
      <c r="F276" s="629">
        <f t="shared" si="47"/>
        <v>0</v>
      </c>
      <c r="G276" s="629">
        <f t="shared" si="48"/>
        <v>0</v>
      </c>
      <c r="H276" s="629">
        <f t="shared" si="49"/>
        <v>0</v>
      </c>
      <c r="I276" s="629">
        <f t="shared" si="28"/>
        <v>0</v>
      </c>
      <c r="J276" s="629">
        <f t="shared" si="29"/>
        <v>0</v>
      </c>
      <c r="K276" s="629">
        <f t="shared" si="30"/>
        <v>0</v>
      </c>
      <c r="L276" s="630" t="e">
        <f t="shared" si="36"/>
        <v>#DIV/0!</v>
      </c>
      <c r="M276" s="630" t="e">
        <f t="shared" si="37"/>
        <v>#DIV/0!</v>
      </c>
      <c r="N276" s="195"/>
      <c r="O276" s="615">
        <f t="shared" si="31"/>
        <v>360</v>
      </c>
      <c r="P276" s="236" t="e">
        <f t="shared" si="38"/>
        <v>#DIV/0!</v>
      </c>
      <c r="Q276" s="195" t="e">
        <f t="shared" si="39"/>
        <v>#DIV/0!</v>
      </c>
      <c r="R276" s="195"/>
      <c r="S276" s="327" t="e">
        <f t="shared" si="40"/>
        <v>#DIV/0!</v>
      </c>
      <c r="T276" s="327" t="e">
        <f t="shared" si="41"/>
        <v>#DIV/0!</v>
      </c>
      <c r="U276" s="195"/>
      <c r="V276" s="197"/>
      <c r="W276" s="185"/>
      <c r="X276" s="141"/>
      <c r="Z276" s="187"/>
      <c r="AA276" s="187"/>
    </row>
    <row r="277" spans="1:27" s="186" customFormat="1" ht="15" customHeight="1">
      <c r="A277" s="215"/>
      <c r="B277" s="213" t="s">
        <v>1003</v>
      </c>
      <c r="C277" s="298">
        <f>IF(R223="Inclinado",C276+2*SIN(RADIANS(Q223))*(I276+N223),C276+2*TAN(RADIANS(Q223))*(I276+N223))</f>
        <v>0</v>
      </c>
      <c r="D277" s="629">
        <f t="shared" si="23"/>
        <v>0</v>
      </c>
      <c r="E277" s="629">
        <f t="shared" si="46"/>
        <v>0</v>
      </c>
      <c r="F277" s="629">
        <f t="shared" si="47"/>
        <v>0</v>
      </c>
      <c r="G277" s="629">
        <f t="shared" si="48"/>
        <v>0</v>
      </c>
      <c r="H277" s="629">
        <f t="shared" si="49"/>
        <v>0</v>
      </c>
      <c r="I277" s="629">
        <f t="shared" si="28"/>
        <v>0</v>
      </c>
      <c r="J277" s="629">
        <f t="shared" si="29"/>
        <v>0</v>
      </c>
      <c r="K277" s="629">
        <f t="shared" si="30"/>
        <v>0</v>
      </c>
      <c r="L277" s="630" t="e">
        <f t="shared" si="36"/>
        <v>#DIV/0!</v>
      </c>
      <c r="M277" s="630" t="e">
        <f t="shared" si="37"/>
        <v>#DIV/0!</v>
      </c>
      <c r="N277" s="195"/>
      <c r="O277" s="615">
        <f t="shared" si="31"/>
        <v>360</v>
      </c>
      <c r="P277" s="236" t="e">
        <f t="shared" si="38"/>
        <v>#DIV/0!</v>
      </c>
      <c r="Q277" s="195" t="e">
        <f t="shared" si="39"/>
        <v>#DIV/0!</v>
      </c>
      <c r="R277" s="195"/>
      <c r="S277" s="327" t="e">
        <f t="shared" si="40"/>
        <v>#DIV/0!</v>
      </c>
      <c r="T277" s="327" t="e">
        <f t="shared" si="41"/>
        <v>#DIV/0!</v>
      </c>
      <c r="U277" s="195"/>
      <c r="V277" s="197"/>
      <c r="W277" s="185"/>
      <c r="X277" s="141"/>
      <c r="Z277" s="187"/>
      <c r="AA277" s="187"/>
    </row>
    <row r="278" spans="1:27" s="186" customFormat="1" ht="15" customHeight="1">
      <c r="A278" s="215"/>
      <c r="B278" s="213" t="s">
        <v>1004</v>
      </c>
      <c r="C278" s="298">
        <f>IF(R223="Inclinado",C277+2*SIN(RADIANS(Q223))*(I277+N223),C277+2*TAN(RADIANS(Q223))*(I277+N223))</f>
        <v>0</v>
      </c>
      <c r="D278" s="629">
        <f t="shared" si="23"/>
        <v>0</v>
      </c>
      <c r="E278" s="629">
        <f t="shared" si="46"/>
        <v>0</v>
      </c>
      <c r="F278" s="629">
        <f t="shared" si="47"/>
        <v>0</v>
      </c>
      <c r="G278" s="629">
        <f t="shared" si="48"/>
        <v>0</v>
      </c>
      <c r="H278" s="629">
        <f t="shared" si="49"/>
        <v>0</v>
      </c>
      <c r="I278" s="629">
        <f t="shared" si="28"/>
        <v>0</v>
      </c>
      <c r="J278" s="629">
        <f t="shared" si="29"/>
        <v>0</v>
      </c>
      <c r="K278" s="629">
        <f t="shared" si="30"/>
        <v>0</v>
      </c>
      <c r="L278" s="630" t="e">
        <f t="shared" si="36"/>
        <v>#DIV/0!</v>
      </c>
      <c r="M278" s="630" t="e">
        <f t="shared" si="37"/>
        <v>#DIV/0!</v>
      </c>
      <c r="N278" s="195"/>
      <c r="O278" s="615">
        <f t="shared" si="31"/>
        <v>360</v>
      </c>
      <c r="P278" s="236" t="e">
        <f t="shared" si="38"/>
        <v>#DIV/0!</v>
      </c>
      <c r="Q278" s="195" t="e">
        <f t="shared" si="39"/>
        <v>#DIV/0!</v>
      </c>
      <c r="R278" s="195"/>
      <c r="S278" s="327" t="e">
        <f t="shared" si="40"/>
        <v>#DIV/0!</v>
      </c>
      <c r="T278" s="327" t="e">
        <f t="shared" si="41"/>
        <v>#DIV/0!</v>
      </c>
      <c r="U278" s="195"/>
      <c r="V278" s="197"/>
      <c r="W278" s="185"/>
      <c r="X278" s="141"/>
      <c r="Z278" s="187"/>
      <c r="AA278" s="187"/>
    </row>
    <row r="279" spans="1:27" s="186" customFormat="1" ht="15" customHeight="1">
      <c r="A279" s="215"/>
      <c r="B279" s="213" t="s">
        <v>1005</v>
      </c>
      <c r="C279" s="298">
        <f>IF(R223="Inclinado",C278+2*SIN(RADIANS(Q223))*(I278+N223),C278+2*TAN(RADIANS(Q223))*(I278+N223))</f>
        <v>0</v>
      </c>
      <c r="D279" s="629">
        <f t="shared" si="23"/>
        <v>0</v>
      </c>
      <c r="E279" s="629">
        <f t="shared" si="46"/>
        <v>0</v>
      </c>
      <c r="F279" s="629">
        <f t="shared" si="47"/>
        <v>0</v>
      </c>
      <c r="G279" s="629">
        <f t="shared" si="48"/>
        <v>0</v>
      </c>
      <c r="H279" s="629">
        <f t="shared" si="49"/>
        <v>0</v>
      </c>
      <c r="I279" s="629">
        <f t="shared" si="28"/>
        <v>0</v>
      </c>
      <c r="J279" s="629">
        <f t="shared" si="29"/>
        <v>0</v>
      </c>
      <c r="K279" s="629">
        <f t="shared" si="30"/>
        <v>0</v>
      </c>
      <c r="L279" s="630" t="e">
        <f t="shared" si="36"/>
        <v>#DIV/0!</v>
      </c>
      <c r="M279" s="630" t="e">
        <f t="shared" si="37"/>
        <v>#DIV/0!</v>
      </c>
      <c r="N279" s="195"/>
      <c r="O279" s="615">
        <f t="shared" si="31"/>
        <v>360</v>
      </c>
      <c r="P279" s="236" t="e">
        <f t="shared" si="38"/>
        <v>#DIV/0!</v>
      </c>
      <c r="Q279" s="195" t="e">
        <f t="shared" si="39"/>
        <v>#DIV/0!</v>
      </c>
      <c r="R279" s="195"/>
      <c r="S279" s="327" t="e">
        <f t="shared" si="40"/>
        <v>#DIV/0!</v>
      </c>
      <c r="T279" s="327" t="e">
        <f t="shared" si="41"/>
        <v>#DIV/0!</v>
      </c>
      <c r="U279" s="195"/>
      <c r="V279" s="197"/>
      <c r="W279" s="185"/>
      <c r="X279" s="141"/>
      <c r="Z279" s="187"/>
      <c r="AA279" s="187"/>
    </row>
    <row r="280" spans="1:27" s="186" customFormat="1" ht="15" customHeight="1">
      <c r="A280" s="215"/>
      <c r="B280" s="213" t="s">
        <v>1006</v>
      </c>
      <c r="C280" s="298">
        <f>IF(R223="Inclinado",C279+2*SIN(RADIANS(Q223))*(I279+N223),C279+2*TAN(RADIANS(Q223))*(I279+N223))</f>
        <v>0</v>
      </c>
      <c r="D280" s="629">
        <f t="shared" si="23"/>
        <v>0</v>
      </c>
      <c r="E280" s="629">
        <f t="shared" si="46"/>
        <v>0</v>
      </c>
      <c r="F280" s="629">
        <f t="shared" si="47"/>
        <v>0</v>
      </c>
      <c r="G280" s="629">
        <f t="shared" si="48"/>
        <v>0</v>
      </c>
      <c r="H280" s="629">
        <f t="shared" si="49"/>
        <v>0</v>
      </c>
      <c r="I280" s="629">
        <f t="shared" si="28"/>
        <v>0</v>
      </c>
      <c r="J280" s="629">
        <f t="shared" si="29"/>
        <v>0</v>
      </c>
      <c r="K280" s="629">
        <f t="shared" si="30"/>
        <v>0</v>
      </c>
      <c r="L280" s="630" t="e">
        <f t="shared" si="36"/>
        <v>#DIV/0!</v>
      </c>
      <c r="M280" s="630" t="e">
        <f t="shared" si="37"/>
        <v>#DIV/0!</v>
      </c>
      <c r="N280" s="195"/>
      <c r="O280" s="615">
        <f t="shared" si="31"/>
        <v>360</v>
      </c>
      <c r="P280" s="236" t="e">
        <f t="shared" si="38"/>
        <v>#DIV/0!</v>
      </c>
      <c r="Q280" s="195" t="e">
        <f t="shared" si="39"/>
        <v>#DIV/0!</v>
      </c>
      <c r="R280" s="195"/>
      <c r="S280" s="327" t="e">
        <f t="shared" si="40"/>
        <v>#DIV/0!</v>
      </c>
      <c r="T280" s="327" t="e">
        <f t="shared" si="41"/>
        <v>#DIV/0!</v>
      </c>
      <c r="U280" s="195"/>
      <c r="V280" s="197"/>
      <c r="W280" s="185"/>
      <c r="X280" s="141"/>
      <c r="Z280" s="187"/>
      <c r="AA280" s="187"/>
    </row>
    <row r="281" spans="1:27" s="186" customFormat="1" ht="15" customHeight="1">
      <c r="A281" s="215"/>
      <c r="B281" s="213" t="s">
        <v>1007</v>
      </c>
      <c r="C281" s="298">
        <f>IF(R223="Inclinado",C280+2*SIN(RADIANS(Q223))*(I280+N223),C280+2*TAN(RADIANS(Q223))*(I280+N223))</f>
        <v>0</v>
      </c>
      <c r="D281" s="629">
        <f t="shared" si="23"/>
        <v>0</v>
      </c>
      <c r="E281" s="629">
        <f t="shared" si="46"/>
        <v>0</v>
      </c>
      <c r="F281" s="629">
        <f t="shared" si="47"/>
        <v>0</v>
      </c>
      <c r="G281" s="629">
        <f t="shared" si="48"/>
        <v>0</v>
      </c>
      <c r="H281" s="629">
        <f t="shared" si="49"/>
        <v>0</v>
      </c>
      <c r="I281" s="629">
        <f t="shared" si="28"/>
        <v>0</v>
      </c>
      <c r="J281" s="629">
        <f t="shared" si="29"/>
        <v>0</v>
      </c>
      <c r="K281" s="629">
        <f t="shared" si="30"/>
        <v>0</v>
      </c>
      <c r="L281" s="630" t="e">
        <f t="shared" si="36"/>
        <v>#DIV/0!</v>
      </c>
      <c r="M281" s="630" t="e">
        <f t="shared" si="37"/>
        <v>#DIV/0!</v>
      </c>
      <c r="N281" s="195"/>
      <c r="O281" s="615">
        <f t="shared" si="31"/>
        <v>360</v>
      </c>
      <c r="P281" s="236" t="e">
        <f t="shared" si="38"/>
        <v>#DIV/0!</v>
      </c>
      <c r="Q281" s="195" t="e">
        <f t="shared" si="39"/>
        <v>#DIV/0!</v>
      </c>
      <c r="R281" s="195"/>
      <c r="S281" s="327" t="e">
        <f t="shared" si="40"/>
        <v>#DIV/0!</v>
      </c>
      <c r="T281" s="327" t="e">
        <f t="shared" si="41"/>
        <v>#DIV/0!</v>
      </c>
      <c r="U281" s="195"/>
      <c r="V281" s="197"/>
      <c r="W281" s="185"/>
      <c r="X281" s="141"/>
      <c r="Z281" s="187"/>
      <c r="AA281" s="187"/>
    </row>
    <row r="282" spans="1:27" s="186" customFormat="1" ht="15" customHeight="1">
      <c r="A282" s="215"/>
      <c r="B282" s="213" t="s">
        <v>1008</v>
      </c>
      <c r="C282" s="298">
        <f>IF(R223="Inclinado",C281+2*SIN(RADIANS(Q223))*(I281+N223),C281+2*TAN(RADIANS(Q223))*(I281+N223))</f>
        <v>0</v>
      </c>
      <c r="D282" s="629">
        <f t="shared" si="23"/>
        <v>0</v>
      </c>
      <c r="E282" s="629">
        <f t="shared" si="46"/>
        <v>0</v>
      </c>
      <c r="F282" s="629">
        <f t="shared" si="47"/>
        <v>0</v>
      </c>
      <c r="G282" s="629">
        <f t="shared" si="48"/>
        <v>0</v>
      </c>
      <c r="H282" s="629">
        <f t="shared" si="49"/>
        <v>0</v>
      </c>
      <c r="I282" s="629">
        <f t="shared" si="28"/>
        <v>0</v>
      </c>
      <c r="J282" s="629">
        <f t="shared" si="29"/>
        <v>0</v>
      </c>
      <c r="K282" s="629">
        <f t="shared" si="30"/>
        <v>0</v>
      </c>
      <c r="L282" s="630" t="e">
        <f t="shared" si="36"/>
        <v>#DIV/0!</v>
      </c>
      <c r="M282" s="630" t="e">
        <f t="shared" si="37"/>
        <v>#DIV/0!</v>
      </c>
      <c r="N282" s="195"/>
      <c r="O282" s="615">
        <f t="shared" si="31"/>
        <v>360</v>
      </c>
      <c r="P282" s="236" t="e">
        <f t="shared" si="38"/>
        <v>#DIV/0!</v>
      </c>
      <c r="Q282" s="195" t="e">
        <f t="shared" si="39"/>
        <v>#DIV/0!</v>
      </c>
      <c r="R282" s="195"/>
      <c r="S282" s="327" t="e">
        <f t="shared" si="40"/>
        <v>#DIV/0!</v>
      </c>
      <c r="T282" s="327" t="e">
        <f t="shared" si="41"/>
        <v>#DIV/0!</v>
      </c>
      <c r="U282" s="195"/>
      <c r="V282" s="197"/>
      <c r="W282" s="185"/>
      <c r="X282" s="141"/>
      <c r="Z282" s="187"/>
      <c r="AA282" s="187"/>
    </row>
    <row r="283" spans="1:27" s="186" customFormat="1" ht="15" customHeight="1" thickBot="1">
      <c r="A283" s="215"/>
      <c r="B283" s="213" t="s">
        <v>1009</v>
      </c>
      <c r="C283" s="298">
        <f>IF(R223="Inclinado",C282+2*SIN(RADIANS(Q223))*(I282+N223),C282+2*TAN(RADIANS(Q223))*(I282+N223))</f>
        <v>0</v>
      </c>
      <c r="D283" s="629">
        <f t="shared" si="23"/>
        <v>0</v>
      </c>
      <c r="E283" s="629">
        <f t="shared" si="46"/>
        <v>0</v>
      </c>
      <c r="F283" s="629">
        <f t="shared" si="47"/>
        <v>0</v>
      </c>
      <c r="G283" s="629">
        <f t="shared" si="48"/>
        <v>0</v>
      </c>
      <c r="H283" s="629">
        <f t="shared" si="49"/>
        <v>0</v>
      </c>
      <c r="I283" s="629">
        <f t="shared" si="28"/>
        <v>0</v>
      </c>
      <c r="J283" s="629">
        <f t="shared" si="29"/>
        <v>0</v>
      </c>
      <c r="K283" s="629">
        <f t="shared" si="30"/>
        <v>0</v>
      </c>
      <c r="L283" s="630" t="e">
        <f t="shared" si="36"/>
        <v>#DIV/0!</v>
      </c>
      <c r="M283" s="630" t="e">
        <f t="shared" si="37"/>
        <v>#DIV/0!</v>
      </c>
      <c r="N283" s="195"/>
      <c r="O283" s="616">
        <f t="shared" si="31"/>
        <v>360</v>
      </c>
      <c r="P283" s="236" t="e">
        <f t="shared" si="38"/>
        <v>#DIV/0!</v>
      </c>
      <c r="Q283" s="195" t="e">
        <f t="shared" si="39"/>
        <v>#DIV/0!</v>
      </c>
      <c r="R283" s="195"/>
      <c r="S283" s="327" t="e">
        <f t="shared" si="40"/>
        <v>#DIV/0!</v>
      </c>
      <c r="T283" s="327" t="e">
        <f t="shared" si="41"/>
        <v>#DIV/0!</v>
      </c>
      <c r="U283" s="195"/>
      <c r="V283" s="197"/>
      <c r="W283" s="185"/>
      <c r="X283" s="141"/>
      <c r="Z283" s="187"/>
      <c r="AA283" s="187"/>
    </row>
    <row r="284" spans="1:27" s="186" customFormat="1" ht="15" customHeight="1">
      <c r="A284" s="215"/>
      <c r="B284" s="210"/>
      <c r="C284" s="298"/>
      <c r="D284" s="195"/>
      <c r="E284" s="135"/>
      <c r="F284" s="135"/>
      <c r="G284" s="135"/>
      <c r="H284" s="135"/>
      <c r="I284" s="232"/>
      <c r="J284" s="232"/>
      <c r="K284" s="232"/>
      <c r="L284" s="195"/>
      <c r="M284" s="195"/>
      <c r="N284" s="195"/>
      <c r="O284" s="144"/>
      <c r="P284" s="195"/>
      <c r="Q284" s="195"/>
      <c r="R284" s="195"/>
      <c r="S284" s="195"/>
      <c r="T284" s="195"/>
      <c r="U284" s="195"/>
      <c r="V284" s="197"/>
      <c r="W284" s="185"/>
      <c r="X284" s="141"/>
      <c r="Z284" s="187"/>
      <c r="AA284" s="187"/>
    </row>
    <row r="285" spans="1:27" s="186" customFormat="1" ht="15" customHeight="1" thickBot="1">
      <c r="A285" s="215"/>
      <c r="B285" s="279" t="s">
        <v>1010</v>
      </c>
      <c r="C285" s="280"/>
      <c r="D285" s="281"/>
      <c r="E285" s="281"/>
      <c r="F285" s="281"/>
      <c r="G285" s="281"/>
      <c r="H285" s="281"/>
      <c r="I285" s="281"/>
      <c r="J285" s="282"/>
      <c r="K285" s="282"/>
      <c r="L285" s="283"/>
      <c r="M285" s="281"/>
      <c r="N285" s="281"/>
      <c r="O285" s="281"/>
      <c r="P285" s="281"/>
      <c r="Q285" s="281"/>
      <c r="R285" s="281"/>
      <c r="S285" s="284"/>
      <c r="T285" s="281"/>
      <c r="U285" s="281" t="s">
        <v>678</v>
      </c>
      <c r="V285" s="285" t="s">
        <v>27</v>
      </c>
      <c r="W285" s="286"/>
      <c r="X285" s="287"/>
      <c r="Z285" s="187"/>
      <c r="AA285" s="187"/>
    </row>
    <row r="286" spans="1:27" s="186" customFormat="1" ht="15" customHeight="1" thickBot="1">
      <c r="A286" s="215"/>
      <c r="B286" s="210"/>
      <c r="C286" s="133">
        <f>SUMIF(Densidades!A:A,'Memória TOTAL'!X286,Densidades!B:B)</f>
        <v>0</v>
      </c>
      <c r="D286" s="134">
        <f>SUMIF(Densidades!A:A,'Memória TOTAL'!X286,Densidades!C:C)</f>
        <v>0</v>
      </c>
      <c r="E286" s="134" t="str">
        <f>IF(I286=15,"FIRECLAY MORTAR",IF(I286=16,"ALUMINA MORTAR",IF(I286=17,"BASIC MORTAR",IF(I286=18,"MORTAR","-"))))</f>
        <v>-</v>
      </c>
      <c r="F286" s="134" t="str">
        <f>IF(I286=15,"FIRECLAY MORTAR",IF(I286=16,"ALUMINA MORTAR",IF(I286=17,"BASIC MORTAR",IF(I286=18,"MORTAR","-"))))</f>
        <v>-</v>
      </c>
      <c r="G286" s="134" t="str">
        <f>IF(I286=15,"FIRECLAY MORTAR",IF(I286=16,"ALUMINA MORTAR",IF(I286=17,"BASIC MORTAR",IF(I286=18,"MORTAR","-"))))</f>
        <v>-</v>
      </c>
      <c r="H286" s="134" t="str">
        <f>IF(I286=15,"FIRECLAY MORTAR",IF(I286=16,"ALUMINA MORTAR",IF(I286=17,"BASIC MORTAR",IF(I286=18,"MORTAR","-"))))</f>
        <v>-</v>
      </c>
      <c r="I286" s="134">
        <f>SUMIF(Densidades!A:A,'Memória TOTAL'!X286,Densidades!G:G)</f>
        <v>0</v>
      </c>
      <c r="J286" s="136">
        <f>SUMIF(Formatos!A:A,'Memória TOTAL'!X287,Formatos!G:G)</f>
        <v>0</v>
      </c>
      <c r="K286" s="137">
        <f>SUMIF(Densidades!A:A,'Memória TOTAL'!X286,Densidades!I:I)</f>
        <v>0</v>
      </c>
      <c r="L286" s="188">
        <v>0</v>
      </c>
      <c r="M286" s="189"/>
      <c r="N286" s="189"/>
      <c r="O286" s="189"/>
      <c r="P286" s="189"/>
      <c r="Q286" s="189"/>
      <c r="R286" s="189"/>
      <c r="S286" s="189"/>
      <c r="T286" s="190"/>
      <c r="U286" s="290">
        <v>0.06</v>
      </c>
      <c r="V286" s="192" t="e">
        <f>(W223*J223*C286+W227*J227*C286)*U286</f>
        <v>#VALUE!</v>
      </c>
      <c r="W286" s="193" t="str">
        <f>IF(C286=0,"",ROUNDUP(SUM(V286:V287)*(1+L286)/D286,2)*D286)</f>
        <v/>
      </c>
      <c r="X286" s="263"/>
      <c r="Z286" s="187"/>
      <c r="AA286" s="187"/>
    </row>
    <row r="287" spans="1:27" s="186" customFormat="1" ht="15" customHeight="1">
      <c r="A287" s="215"/>
      <c r="B287" s="210"/>
      <c r="C287" s="133"/>
      <c r="D287" s="195"/>
      <c r="E287" s="195"/>
      <c r="F287" s="195"/>
      <c r="G287" s="195"/>
      <c r="H287" s="195"/>
      <c r="I287" s="195"/>
      <c r="J287" s="196"/>
      <c r="K287" s="196"/>
      <c r="L287" s="144"/>
      <c r="M287" s="195"/>
      <c r="N287" s="195"/>
      <c r="O287" s="195"/>
      <c r="P287" s="195"/>
      <c r="Q287" s="195"/>
      <c r="R287" s="195"/>
      <c r="S287" s="195"/>
      <c r="T287" s="195"/>
      <c r="U287" s="195"/>
      <c r="V287" s="197"/>
      <c r="W287" s="185"/>
      <c r="X287" s="141" t="str">
        <f>IF(AND(H286="-",G286="-",F286="-"),E286,IF(AND(H286="-",G286="-",E286="-"),F286,IF(AND(H286="-",F286="-",E286="-"),G286,H286)))</f>
        <v>-</v>
      </c>
      <c r="Z287" s="187"/>
      <c r="AA287" s="187"/>
    </row>
    <row r="288" spans="1:27" s="186" customFormat="1" ht="15" customHeight="1">
      <c r="A288" s="215"/>
      <c r="B288" s="213"/>
      <c r="C288" s="133"/>
      <c r="D288" s="195"/>
      <c r="E288" s="195"/>
      <c r="F288" s="195"/>
      <c r="G288" s="195"/>
      <c r="H288" s="195"/>
      <c r="I288" s="195"/>
      <c r="J288" s="196"/>
      <c r="K288" s="196"/>
      <c r="L288" s="144"/>
      <c r="M288" s="195"/>
      <c r="N288" s="195"/>
      <c r="O288" s="195"/>
      <c r="P288" s="195"/>
      <c r="Q288" s="195"/>
      <c r="R288" s="195"/>
      <c r="S288" s="195"/>
      <c r="T288" s="195"/>
      <c r="U288" s="195"/>
      <c r="V288" s="197"/>
      <c r="W288" s="185"/>
      <c r="X288" s="141" t="s">
        <v>2</v>
      </c>
      <c r="Z288" s="187"/>
      <c r="AA288" s="187"/>
    </row>
    <row r="289" spans="1:27" ht="15" customHeight="1">
      <c r="A289" s="215"/>
      <c r="B289" s="131"/>
      <c r="C289" s="169"/>
      <c r="D289" s="170"/>
      <c r="E289" s="170"/>
      <c r="F289" s="170"/>
      <c r="G289" s="170"/>
      <c r="H289" s="170"/>
      <c r="I289" s="170"/>
      <c r="J289" s="171"/>
      <c r="K289" s="171"/>
      <c r="L289" s="172"/>
      <c r="M289" s="170"/>
      <c r="N289" s="170"/>
      <c r="O289" s="170"/>
      <c r="P289" s="170"/>
      <c r="Q289" s="170"/>
      <c r="R289" s="170"/>
      <c r="S289" s="170"/>
      <c r="T289" s="170"/>
      <c r="U289" s="170"/>
      <c r="V289" s="173"/>
      <c r="W289" s="174"/>
      <c r="X289" s="175"/>
    </row>
    <row r="290" spans="1:27" s="186" customFormat="1" ht="15" customHeight="1" thickBot="1">
      <c r="A290" s="215"/>
      <c r="B290" s="279" t="s">
        <v>1011</v>
      </c>
      <c r="C290" s="280"/>
      <c r="D290" s="281"/>
      <c r="E290" s="281"/>
      <c r="F290" s="281"/>
      <c r="G290" s="281"/>
      <c r="H290" s="281"/>
      <c r="I290" s="281"/>
      <c r="J290" s="282"/>
      <c r="K290" s="282"/>
      <c r="L290" s="283"/>
      <c r="M290" s="281"/>
      <c r="N290" s="281"/>
      <c r="O290" s="281"/>
      <c r="P290" s="281"/>
      <c r="Q290" s="281"/>
      <c r="R290" s="281" t="s">
        <v>636</v>
      </c>
      <c r="S290" s="284" t="s">
        <v>637</v>
      </c>
      <c r="T290" s="281" t="s">
        <v>638</v>
      </c>
      <c r="U290" s="281" t="s">
        <v>38</v>
      </c>
      <c r="V290" s="285" t="s">
        <v>27</v>
      </c>
      <c r="W290" s="286"/>
      <c r="X290" s="287"/>
      <c r="Z290" s="187"/>
      <c r="AA290" s="187"/>
    </row>
    <row r="291" spans="1:27" s="186" customFormat="1" ht="15" customHeight="1" thickBot="1">
      <c r="A291" s="215"/>
      <c r="B291" s="210"/>
      <c r="C291" s="133">
        <f>SUMIF(Densidades!A:A,'Memória TOTAL'!X291,Densidades!B:B)</f>
        <v>0</v>
      </c>
      <c r="D291" s="134">
        <f>SUMIF(Densidades!A:A,'Memória TOTAL'!X291,Densidades!C:C)</f>
        <v>0</v>
      </c>
      <c r="E291" s="134" t="str">
        <f>IF(I291=15,"FIRECLAY MORTAR",IF(I291=16,"ALUMINA MORTAR",IF(I291=17,"BASIC MORTAR",IF(I291=18,"MORTAR","-"))))</f>
        <v>-</v>
      </c>
      <c r="F291" s="134" t="str">
        <f>IF(I291=15,"FIRECLAY MORTAR",IF(I291=16,"ALUMINA MORTAR",IF(I291=17,"BASIC MORTAR",IF(I291=18,"MORTAR","-"))))</f>
        <v>-</v>
      </c>
      <c r="G291" s="134" t="str">
        <f>IF(I291=15,"FIRECLAY MORTAR",IF(I291=16,"ALUMINA MORTAR",IF(I291=17,"BASIC MORTAR",IF(I291=18,"MORTAR","-"))))</f>
        <v>-</v>
      </c>
      <c r="H291" s="134" t="str">
        <f>IF(I291=15,"FIRECLAY MORTAR",IF(I291=16,"ALUMINA MORTAR",IF(I291=17,"BASIC MORTAR",IF(I291=18,"MORTAR","-"))))</f>
        <v>-</v>
      </c>
      <c r="I291" s="134">
        <f>SUMIF(Densidades!A:A,'Memória TOTAL'!X291,Densidades!G:G)</f>
        <v>0</v>
      </c>
      <c r="J291" s="136">
        <f>SUMIF(Formatos!A:A,'Memória TOTAL'!X292,Formatos!G:G)</f>
        <v>0</v>
      </c>
      <c r="K291" s="222">
        <f>SUMIF(Densidades!A:A,'Memória TOTAL'!X291,Densidades!I:I)</f>
        <v>0</v>
      </c>
      <c r="L291" s="188">
        <v>0</v>
      </c>
      <c r="M291" s="189"/>
      <c r="N291" s="189"/>
      <c r="O291" s="189"/>
      <c r="P291" s="189"/>
      <c r="Q291" s="189"/>
      <c r="R291" s="190">
        <f>((G223*H223)+(G223*E223)+(H223*E223))/1000000</f>
        <v>0</v>
      </c>
      <c r="S291" s="259">
        <v>2</v>
      </c>
      <c r="T291" s="190">
        <f>R291*S291</f>
        <v>0</v>
      </c>
      <c r="U291" s="191">
        <f>SUM(W223:W228)</f>
        <v>0</v>
      </c>
      <c r="V291" s="192">
        <f>(T291*C291*(1+L291))*U291</f>
        <v>0</v>
      </c>
      <c r="W291" s="140" t="str">
        <f>IF(C291=0,"",ROUNDUP(SUM(V291:V292)*(1+L291)/D291,2)*D291)</f>
        <v/>
      </c>
      <c r="X291" s="263"/>
      <c r="Z291" s="187"/>
      <c r="AA291" s="187"/>
    </row>
    <row r="292" spans="1:27" s="186" customFormat="1" ht="15" customHeight="1">
      <c r="A292" s="215"/>
      <c r="B292" s="210"/>
      <c r="C292" s="133"/>
      <c r="D292" s="195"/>
      <c r="E292" s="195"/>
      <c r="F292" s="195"/>
      <c r="G292" s="195"/>
      <c r="H292" s="195"/>
      <c r="I292" s="195"/>
      <c r="J292" s="196"/>
      <c r="K292" s="196"/>
      <c r="L292" s="144"/>
      <c r="M292" s="195"/>
      <c r="N292" s="195"/>
      <c r="O292" s="195"/>
      <c r="P292" s="195"/>
      <c r="Q292" s="195"/>
      <c r="R292" s="195"/>
      <c r="S292" s="195"/>
      <c r="T292" s="195"/>
      <c r="U292" s="195"/>
      <c r="V292" s="197"/>
      <c r="W292" s="185"/>
      <c r="X292" s="141" t="str">
        <f>IF(AND(H291="-",G291="-",F291="-"),E291,IF(AND(H291="-",G291="-",E291="-"),F291,IF(AND(H291="-",F291="-",E291="-"),G291,H291)))</f>
        <v>-</v>
      </c>
      <c r="Z292" s="187"/>
      <c r="AA292" s="187"/>
    </row>
    <row r="293" spans="1:27" s="186" customFormat="1" ht="15" customHeight="1">
      <c r="A293" s="215"/>
      <c r="B293" s="213"/>
      <c r="C293" s="133"/>
      <c r="D293" s="195"/>
      <c r="E293" s="195"/>
      <c r="F293" s="195"/>
      <c r="G293" s="195"/>
      <c r="H293" s="195"/>
      <c r="I293" s="195"/>
      <c r="J293" s="196"/>
      <c r="K293" s="196"/>
      <c r="L293" s="144"/>
      <c r="M293" s="195"/>
      <c r="N293" s="195"/>
      <c r="O293" s="195"/>
      <c r="P293" s="195"/>
      <c r="Q293" s="195"/>
      <c r="R293" s="195"/>
      <c r="S293" s="195"/>
      <c r="T293" s="195"/>
      <c r="U293" s="195"/>
      <c r="V293" s="197"/>
      <c r="W293" s="185"/>
      <c r="X293" s="141" t="s">
        <v>2</v>
      </c>
      <c r="Z293" s="187"/>
      <c r="AA293" s="187"/>
    </row>
    <row r="294" spans="1:27" s="186" customFormat="1" ht="15" customHeight="1">
      <c r="A294" s="215"/>
      <c r="B294" s="210"/>
      <c r="C294" s="298"/>
      <c r="D294" s="195"/>
      <c r="E294" s="195"/>
      <c r="F294" s="195"/>
      <c r="G294" s="195"/>
      <c r="H294" s="195"/>
      <c r="I294" s="195"/>
      <c r="J294" s="196"/>
      <c r="K294" s="196"/>
      <c r="L294" s="144"/>
      <c r="M294" s="195"/>
      <c r="N294" s="195"/>
      <c r="O294" s="195"/>
      <c r="P294" s="195"/>
      <c r="Q294" s="195"/>
      <c r="R294" s="195"/>
      <c r="S294" s="195"/>
      <c r="T294" s="195"/>
      <c r="U294" s="195"/>
      <c r="V294" s="197"/>
      <c r="W294" s="185"/>
      <c r="X294" s="141"/>
      <c r="Z294" s="187"/>
      <c r="AA294" s="187"/>
    </row>
    <row r="295" spans="1:27" s="186" customFormat="1" ht="15" customHeight="1" thickBot="1">
      <c r="A295" s="215"/>
      <c r="B295" s="509"/>
      <c r="C295" s="509"/>
      <c r="D295" s="512"/>
      <c r="E295" s="512"/>
      <c r="F295" s="512"/>
      <c r="G295" s="512"/>
      <c r="H295" s="512"/>
      <c r="I295" s="512"/>
      <c r="J295" s="512"/>
      <c r="K295" s="512"/>
      <c r="L295" s="512"/>
      <c r="M295" s="512"/>
      <c r="N295" s="512"/>
      <c r="O295" s="512"/>
      <c r="P295" s="512"/>
      <c r="Q295" s="512"/>
      <c r="R295" s="512"/>
      <c r="S295" s="512"/>
      <c r="T295" s="512"/>
      <c r="U295" s="512"/>
      <c r="V295" s="512"/>
      <c r="W295" s="512"/>
      <c r="X295" s="513"/>
      <c r="Z295" s="187"/>
      <c r="AA295" s="187"/>
    </row>
    <row r="296" spans="1:27" s="186" customFormat="1" ht="15" customHeight="1" thickBot="1">
      <c r="A296" s="215"/>
      <c r="B296" s="514" t="str">
        <f>IF(X297="","TIJOLO / TRONCO DE CONE - 3 TIJOLOS",X297)</f>
        <v>TIJOLO / TRONCO DE CONE - 3 TIJOLOS</v>
      </c>
      <c r="C296" s="515" t="s">
        <v>101</v>
      </c>
      <c r="D296" s="182" t="s">
        <v>102</v>
      </c>
      <c r="E296" s="182" t="s">
        <v>42</v>
      </c>
      <c r="F296" s="182" t="s">
        <v>42</v>
      </c>
      <c r="G296" s="182" t="s">
        <v>43</v>
      </c>
      <c r="H296" s="182" t="s">
        <v>44</v>
      </c>
      <c r="I296" s="182" t="s">
        <v>47</v>
      </c>
      <c r="J296" s="182" t="s">
        <v>103</v>
      </c>
      <c r="K296" s="182" t="s">
        <v>37</v>
      </c>
      <c r="L296" s="182" t="s">
        <v>39</v>
      </c>
      <c r="M296" s="182"/>
      <c r="N296" s="182"/>
      <c r="O296" s="182"/>
      <c r="P296" s="182"/>
      <c r="Q296" s="182"/>
      <c r="R296" s="182"/>
      <c r="S296" s="182"/>
      <c r="T296" s="182"/>
      <c r="U296" s="182"/>
      <c r="V296" s="516" t="s">
        <v>27</v>
      </c>
      <c r="W296" s="517"/>
      <c r="X296" s="518"/>
      <c r="Z296" s="187"/>
      <c r="AA296" s="187"/>
    </row>
    <row r="297" spans="1:27" s="186" customFormat="1" ht="15" customHeight="1" thickBot="1">
      <c r="A297" s="215"/>
      <c r="B297" s="793" t="s">
        <v>1833</v>
      </c>
      <c r="C297" s="133">
        <f>SUMIF(Densidades!A:A,'Memória TOTAL'!X297,Densidades!B:B)</f>
        <v>0</v>
      </c>
      <c r="D297" s="134">
        <f>SUMIF(Densidades!A:A,'Memória TOTAL'!X297,Densidades!C:C)</f>
        <v>0</v>
      </c>
      <c r="E297" s="135">
        <f>SUMIF(Formatos!A:A,'Memória TOTAL'!X298,Formatos!E:E)</f>
        <v>0</v>
      </c>
      <c r="F297" s="135">
        <f>SUMIF(Formatos!A:A,'Memória TOTAL'!X298,Formatos!F:F)</f>
        <v>0</v>
      </c>
      <c r="G297" s="135">
        <f>SUMIF(Formatos!A:A,'Memória TOTAL'!X298,Formatos!C:C)</f>
        <v>0</v>
      </c>
      <c r="H297" s="135">
        <f>SUMIF(Formatos!A:A,'Memória TOTAL'!X298,Formatos!D:D)</f>
        <v>0</v>
      </c>
      <c r="I297" s="135">
        <f>SUMIF(Densidades!A:A,'Memória TOTAL'!X297,Densidades!H:H)</f>
        <v>0</v>
      </c>
      <c r="J297" s="136">
        <f>SUMIF(Formatos!A:A,'Memória TOTAL'!X298,Formatos!G:G)</f>
        <v>0</v>
      </c>
      <c r="K297" s="222">
        <f>SUMIF(Densidades!A:A,'Memória TOTAL'!X297,Densidades!I:I)</f>
        <v>0</v>
      </c>
      <c r="L297" s="223">
        <v>0</v>
      </c>
      <c r="M297" s="195"/>
      <c r="N297" s="195"/>
      <c r="O297" s="195"/>
      <c r="P297" s="195"/>
      <c r="Q297" s="195"/>
      <c r="R297" s="195"/>
      <c r="S297" s="195"/>
      <c r="T297" s="232"/>
      <c r="U297" s="195"/>
      <c r="V297" s="233">
        <f>IF(H338="","-",SUM(H338))</f>
        <v>0</v>
      </c>
      <c r="W297" s="193">
        <f>IF(V297="-","",ROUNDUP(SUM(V297)*(1+L297),0))</f>
        <v>0</v>
      </c>
      <c r="X297" s="263"/>
      <c r="Z297" s="187"/>
      <c r="AA297" s="187"/>
    </row>
    <row r="298" spans="1:27" s="186" customFormat="1" ht="15" customHeight="1" thickBot="1">
      <c r="A298" s="215"/>
      <c r="B298" s="794"/>
      <c r="C298" s="200"/>
      <c r="D298" s="195"/>
      <c r="E298" s="195"/>
      <c r="F298" s="195"/>
      <c r="G298" s="195"/>
      <c r="H298" s="195"/>
      <c r="I298" s="195"/>
      <c r="J298" s="196"/>
      <c r="K298" s="196"/>
      <c r="L298" s="144"/>
      <c r="M298" s="195"/>
      <c r="N298" s="195"/>
      <c r="O298" s="195"/>
      <c r="P298" s="195"/>
      <c r="Q298" s="195"/>
      <c r="R298" s="195"/>
      <c r="S298" s="195"/>
      <c r="T298" s="195"/>
      <c r="U298" s="195"/>
      <c r="V298" s="197"/>
      <c r="W298" s="185"/>
      <c r="X298" s="141" t="str">
        <f>IF(X297="","",G338)</f>
        <v/>
      </c>
      <c r="Z298" s="187"/>
      <c r="AA298" s="187"/>
    </row>
    <row r="299" spans="1:27" s="186" customFormat="1" ht="15" customHeight="1">
      <c r="A299" s="215"/>
      <c r="B299" s="194"/>
      <c r="C299" s="200"/>
      <c r="D299" s="195"/>
      <c r="E299" s="195"/>
      <c r="F299" s="195"/>
      <c r="G299" s="195"/>
      <c r="H299" s="195"/>
      <c r="I299" s="195"/>
      <c r="J299" s="196"/>
      <c r="K299" s="196"/>
      <c r="L299" s="144"/>
      <c r="M299" s="195"/>
      <c r="N299" s="195"/>
      <c r="O299" s="195"/>
      <c r="P299" s="195"/>
      <c r="Q299" s="195"/>
      <c r="R299" s="195"/>
      <c r="S299" s="195"/>
      <c r="T299" s="195"/>
      <c r="U299" s="195"/>
      <c r="V299" s="197"/>
      <c r="W299" s="185"/>
      <c r="X299" s="141" t="s">
        <v>524</v>
      </c>
      <c r="Z299" s="187"/>
      <c r="AA299" s="187"/>
    </row>
    <row r="300" spans="1:27" s="186" customFormat="1" ht="15" customHeight="1">
      <c r="A300" s="215"/>
      <c r="B300" s="194"/>
      <c r="C300" s="200" t="str">
        <f t="shared" ref="C300:L300" si="50">C296</f>
        <v>Dens.</v>
      </c>
      <c r="D300" s="195" t="str">
        <f t="shared" si="50"/>
        <v>Emb.</v>
      </c>
      <c r="E300" s="238" t="str">
        <f t="shared" si="50"/>
        <v>Esp. Tij.</v>
      </c>
      <c r="F300" s="238" t="str">
        <f t="shared" si="50"/>
        <v>Esp. Tij.</v>
      </c>
      <c r="G300" s="238" t="str">
        <f t="shared" si="50"/>
        <v>Comp. Tij.</v>
      </c>
      <c r="H300" s="238" t="str">
        <f t="shared" si="50"/>
        <v>Larg. Tij.</v>
      </c>
      <c r="I300" s="238" t="str">
        <f t="shared" si="50"/>
        <v>Tipo Fator</v>
      </c>
      <c r="J300" s="238" t="str">
        <f t="shared" si="50"/>
        <v>Vol.</v>
      </c>
      <c r="K300" s="238" t="str">
        <f t="shared" si="50"/>
        <v>Class.</v>
      </c>
      <c r="L300" s="195" t="str">
        <f t="shared" si="50"/>
        <v>Coefic. (%)</v>
      </c>
      <c r="M300" s="195"/>
      <c r="N300" s="195"/>
      <c r="O300" s="195"/>
      <c r="P300" s="195"/>
      <c r="Q300" s="195"/>
      <c r="R300" s="195"/>
      <c r="S300" s="195"/>
      <c r="T300" s="195"/>
      <c r="U300" s="195"/>
      <c r="V300" s="197"/>
      <c r="W300" s="185"/>
      <c r="X300" s="141"/>
      <c r="Z300" s="187"/>
      <c r="AA300" s="187"/>
    </row>
    <row r="301" spans="1:27" s="186" customFormat="1" ht="15" customHeight="1">
      <c r="A301" s="215"/>
      <c r="B301" s="194"/>
      <c r="C301" s="133">
        <f>SUMIF(Densidades!A:A,'Memória TOTAL'!X301,Densidades!B:B)</f>
        <v>0</v>
      </c>
      <c r="D301" s="134">
        <f>SUMIF(Densidades!A:A,'Memória TOTAL'!X301,Densidades!C:C)</f>
        <v>620</v>
      </c>
      <c r="E301" s="135">
        <f>SUMIF(Formatos!A:A,'Memória TOTAL'!X302,Formatos!E:E)</f>
        <v>0</v>
      </c>
      <c r="F301" s="135">
        <f>SUMIF(Formatos!A:A,'Memória TOTAL'!X302,Formatos!F:F)</f>
        <v>0</v>
      </c>
      <c r="G301" s="135">
        <f>SUMIF(Formatos!A:A,'Memória TOTAL'!X302,Formatos!C:C)</f>
        <v>0</v>
      </c>
      <c r="H301" s="135">
        <f>SUMIF(Formatos!A:A,'Memória TOTAL'!X302,Formatos!D:D)</f>
        <v>0</v>
      </c>
      <c r="I301" s="135">
        <f>SUMIF(Densidades!A:A,'Memória TOTAL'!X301,Densidades!H:H)</f>
        <v>0</v>
      </c>
      <c r="J301" s="136">
        <f>SUMIF(Formatos!A:A,'Memória TOTAL'!X302,Formatos!G:G)</f>
        <v>0</v>
      </c>
      <c r="K301" s="222">
        <f>SUMIF(Densidades!A:A,'Memória TOTAL'!X301,Densidades!I:I)</f>
        <v>177</v>
      </c>
      <c r="L301" s="223">
        <v>0</v>
      </c>
      <c r="M301" s="195"/>
      <c r="N301" s="195"/>
      <c r="O301" s="195"/>
      <c r="P301" s="195"/>
      <c r="Q301" s="195"/>
      <c r="R301" s="195"/>
      <c r="S301" s="195"/>
      <c r="T301" s="232"/>
      <c r="U301" s="195"/>
      <c r="V301" s="233">
        <f>IF(H339="","-",SUM(H339))</f>
        <v>0</v>
      </c>
      <c r="W301" s="193">
        <f>IF(V301="-","",ROUNDUP(SUM(V301)*(1+L301),0))</f>
        <v>0</v>
      </c>
      <c r="X301" s="141" t="str">
        <f>IF(X297="","",X297)</f>
        <v/>
      </c>
      <c r="Z301" s="187"/>
      <c r="AA301" s="187"/>
    </row>
    <row r="302" spans="1:27" s="186" customFormat="1" ht="15" customHeight="1">
      <c r="A302" s="215"/>
      <c r="B302" s="194"/>
      <c r="C302" s="200"/>
      <c r="D302" s="195"/>
      <c r="E302" s="195"/>
      <c r="F302" s="195"/>
      <c r="G302" s="195"/>
      <c r="H302" s="195"/>
      <c r="I302" s="195"/>
      <c r="J302" s="196"/>
      <c r="K302" s="196"/>
      <c r="L302" s="144"/>
      <c r="M302" s="195"/>
      <c r="N302" s="195"/>
      <c r="O302" s="195"/>
      <c r="P302" s="195"/>
      <c r="Q302" s="195"/>
      <c r="R302" s="195"/>
      <c r="S302" s="195"/>
      <c r="T302" s="195"/>
      <c r="U302" s="195"/>
      <c r="V302" s="197"/>
      <c r="W302" s="185"/>
      <c r="X302" s="141" t="str">
        <f>IF(X301="","",G339)</f>
        <v/>
      </c>
      <c r="Z302" s="187"/>
      <c r="AA302" s="187"/>
    </row>
    <row r="303" spans="1:27" s="186" customFormat="1" ht="15" customHeight="1">
      <c r="A303" s="215"/>
      <c r="B303" s="194"/>
      <c r="C303" s="200"/>
      <c r="D303" s="195"/>
      <c r="E303" s="195"/>
      <c r="F303" s="195"/>
      <c r="G303" s="195"/>
      <c r="H303" s="195"/>
      <c r="I303" s="195"/>
      <c r="J303" s="196"/>
      <c r="K303" s="196"/>
      <c r="L303" s="144"/>
      <c r="M303" s="195"/>
      <c r="N303" s="195"/>
      <c r="O303" s="195"/>
      <c r="P303" s="195"/>
      <c r="Q303" s="195"/>
      <c r="R303" s="195"/>
      <c r="S303" s="195"/>
      <c r="T303" s="195"/>
      <c r="U303" s="195"/>
      <c r="V303" s="197"/>
      <c r="W303" s="185"/>
      <c r="X303" s="141" t="s">
        <v>524</v>
      </c>
      <c r="Z303" s="187"/>
      <c r="AA303" s="187"/>
    </row>
    <row r="304" spans="1:27" s="186" customFormat="1" ht="15" customHeight="1">
      <c r="A304" s="215"/>
      <c r="B304" s="194"/>
      <c r="C304" s="200" t="str">
        <f t="shared" ref="C304:L304" si="51">C300</f>
        <v>Dens.</v>
      </c>
      <c r="D304" s="195" t="str">
        <f t="shared" si="51"/>
        <v>Emb.</v>
      </c>
      <c r="E304" s="238" t="str">
        <f t="shared" si="51"/>
        <v>Esp. Tij.</v>
      </c>
      <c r="F304" s="238" t="str">
        <f t="shared" si="51"/>
        <v>Esp. Tij.</v>
      </c>
      <c r="G304" s="238" t="str">
        <f t="shared" si="51"/>
        <v>Comp. Tij.</v>
      </c>
      <c r="H304" s="238" t="str">
        <f t="shared" si="51"/>
        <v>Larg. Tij.</v>
      </c>
      <c r="I304" s="238" t="str">
        <f t="shared" si="51"/>
        <v>Tipo Fator</v>
      </c>
      <c r="J304" s="238" t="str">
        <f t="shared" si="51"/>
        <v>Vol.</v>
      </c>
      <c r="K304" s="238" t="str">
        <f t="shared" si="51"/>
        <v>Class.</v>
      </c>
      <c r="L304" s="195" t="str">
        <f t="shared" si="51"/>
        <v>Coefic. (%)</v>
      </c>
      <c r="M304" s="195"/>
      <c r="N304" s="195"/>
      <c r="O304" s="195"/>
      <c r="P304" s="195"/>
      <c r="Q304" s="195"/>
      <c r="R304" s="195"/>
      <c r="S304" s="195"/>
      <c r="T304" s="195"/>
      <c r="U304" s="195"/>
      <c r="V304" s="197"/>
      <c r="W304" s="185"/>
      <c r="X304" s="141"/>
      <c r="Z304" s="187"/>
      <c r="AA304" s="187"/>
    </row>
    <row r="305" spans="1:27" s="186" customFormat="1" ht="15" customHeight="1">
      <c r="A305" s="215"/>
      <c r="B305" s="194"/>
      <c r="C305" s="133">
        <f>SUMIF(Densidades!A:A,'Memória TOTAL'!X305,Densidades!B:B)</f>
        <v>0</v>
      </c>
      <c r="D305" s="134">
        <f>SUMIF(Densidades!A:A,'Memória TOTAL'!X305,Densidades!C:C)</f>
        <v>620</v>
      </c>
      <c r="E305" s="135">
        <f>SUMIF(Formatos!A:A,'Memória TOTAL'!X306,Formatos!E:E)</f>
        <v>0</v>
      </c>
      <c r="F305" s="135">
        <f>SUMIF(Formatos!A:A,'Memória TOTAL'!X306,Formatos!F:F)</f>
        <v>0</v>
      </c>
      <c r="G305" s="135">
        <f>SUMIF(Formatos!A:A,'Memória TOTAL'!X306,Formatos!C:C)</f>
        <v>0</v>
      </c>
      <c r="H305" s="135">
        <f>SUMIF(Formatos!A:A,'Memória TOTAL'!X306,Formatos!D:D)</f>
        <v>0</v>
      </c>
      <c r="I305" s="135">
        <f>SUMIF(Densidades!A:A,'Memória TOTAL'!X305,Densidades!H:H)</f>
        <v>0</v>
      </c>
      <c r="J305" s="136">
        <f>SUMIF(Formatos!A:A,'Memória TOTAL'!X306,Formatos!G:G)</f>
        <v>0</v>
      </c>
      <c r="K305" s="222">
        <f>SUMIF(Densidades!A:A,'Memória TOTAL'!X305,Densidades!I:I)</f>
        <v>177</v>
      </c>
      <c r="L305" s="223">
        <v>0</v>
      </c>
      <c r="M305" s="195"/>
      <c r="N305" s="195"/>
      <c r="O305" s="195"/>
      <c r="P305" s="195"/>
      <c r="Q305" s="195"/>
      <c r="R305" s="195"/>
      <c r="S305" s="195"/>
      <c r="T305" s="232"/>
      <c r="U305" s="195"/>
      <c r="V305" s="233" t="e">
        <f>IF(H340="","-",SUM(H340))</f>
        <v>#N/A</v>
      </c>
      <c r="W305" s="193" t="e">
        <f>IF(V305="-","",ROUNDUP(SUM(V305)*(1+L305),0))</f>
        <v>#N/A</v>
      </c>
      <c r="X305" s="141" t="str">
        <f>X301</f>
        <v/>
      </c>
      <c r="Z305" s="187"/>
      <c r="AA305" s="187"/>
    </row>
    <row r="306" spans="1:27" s="186" customFormat="1" ht="15" customHeight="1">
      <c r="A306" s="215"/>
      <c r="B306" s="194"/>
      <c r="C306" s="200"/>
      <c r="D306" s="195"/>
      <c r="E306" s="195"/>
      <c r="F306" s="195"/>
      <c r="G306" s="195"/>
      <c r="H306" s="195"/>
      <c r="I306" s="195"/>
      <c r="J306" s="196"/>
      <c r="K306" s="196"/>
      <c r="L306" s="144"/>
      <c r="M306" s="195"/>
      <c r="N306" s="195"/>
      <c r="O306" s="195"/>
      <c r="P306" s="195"/>
      <c r="Q306" s="195"/>
      <c r="R306" s="195"/>
      <c r="S306" s="195"/>
      <c r="T306" s="195"/>
      <c r="U306" s="195"/>
      <c r="V306" s="197"/>
      <c r="W306" s="185"/>
      <c r="X306" s="141" t="str">
        <f>IF(X305="","",G340)</f>
        <v/>
      </c>
      <c r="Z306" s="187"/>
      <c r="AA306" s="187"/>
    </row>
    <row r="307" spans="1:27" s="186" customFormat="1" ht="15" customHeight="1">
      <c r="A307" s="215"/>
      <c r="B307" s="194"/>
      <c r="C307" s="200"/>
      <c r="D307" s="195"/>
      <c r="E307" s="195"/>
      <c r="F307" s="195"/>
      <c r="G307" s="195"/>
      <c r="H307" s="195"/>
      <c r="I307" s="195"/>
      <c r="J307" s="196"/>
      <c r="K307" s="196"/>
      <c r="L307" s="144"/>
      <c r="M307" s="195"/>
      <c r="N307" s="195"/>
      <c r="O307" s="195"/>
      <c r="P307" s="195"/>
      <c r="Q307" s="195"/>
      <c r="R307" s="195"/>
      <c r="S307" s="195"/>
      <c r="T307" s="195"/>
      <c r="U307" s="195"/>
      <c r="V307" s="197"/>
      <c r="W307" s="185"/>
      <c r="X307" s="141" t="s">
        <v>524</v>
      </c>
      <c r="Z307" s="187"/>
      <c r="AA307" s="187"/>
    </row>
    <row r="308" spans="1:27" s="186" customFormat="1" ht="15" customHeight="1">
      <c r="A308" s="215"/>
      <c r="B308" s="194"/>
      <c r="C308" s="200" t="str">
        <f t="shared" ref="C308:L308" si="52">C304</f>
        <v>Dens.</v>
      </c>
      <c r="D308" s="195" t="str">
        <f t="shared" si="52"/>
        <v>Emb.</v>
      </c>
      <c r="E308" s="238" t="str">
        <f t="shared" si="52"/>
        <v>Esp. Tij.</v>
      </c>
      <c r="F308" s="238" t="str">
        <f t="shared" si="52"/>
        <v>Esp. Tij.</v>
      </c>
      <c r="G308" s="238" t="str">
        <f t="shared" si="52"/>
        <v>Comp. Tij.</v>
      </c>
      <c r="H308" s="238" t="str">
        <f t="shared" si="52"/>
        <v>Larg. Tij.</v>
      </c>
      <c r="I308" s="238" t="str">
        <f t="shared" si="52"/>
        <v>Tipo Fator</v>
      </c>
      <c r="J308" s="238" t="str">
        <f t="shared" si="52"/>
        <v>Vol.</v>
      </c>
      <c r="K308" s="238" t="str">
        <f t="shared" si="52"/>
        <v>Class.</v>
      </c>
      <c r="L308" s="195" t="str">
        <f t="shared" si="52"/>
        <v>Coefic. (%)</v>
      </c>
      <c r="M308" s="195"/>
      <c r="N308" s="195"/>
      <c r="O308" s="195"/>
      <c r="P308" s="195"/>
      <c r="Q308" s="195"/>
      <c r="R308" s="195"/>
      <c r="S308" s="195"/>
      <c r="T308" s="195"/>
      <c r="U308" s="195"/>
      <c r="V308" s="197"/>
      <c r="W308" s="185"/>
      <c r="X308" s="141"/>
      <c r="Z308" s="187"/>
      <c r="AA308" s="187"/>
    </row>
    <row r="309" spans="1:27" s="186" customFormat="1" ht="15" customHeight="1">
      <c r="A309" s="215"/>
      <c r="B309" s="194"/>
      <c r="C309" s="133">
        <f>SUMIF(Densidades!A:A,'Memória TOTAL'!X309,Densidades!B:B)</f>
        <v>0</v>
      </c>
      <c r="D309" s="134">
        <f>SUMIF(Densidades!A:A,'Memória TOTAL'!X309,Densidades!C:C)</f>
        <v>620</v>
      </c>
      <c r="E309" s="135">
        <f>SUMIF(Formatos!A:A,'Memória TOTAL'!X310,Formatos!E:E)</f>
        <v>0</v>
      </c>
      <c r="F309" s="135">
        <f>SUMIF(Formatos!A:A,'Memória TOTAL'!X310,Formatos!F:F)</f>
        <v>0</v>
      </c>
      <c r="G309" s="135">
        <f>SUMIF(Formatos!A:A,'Memória TOTAL'!X310,Formatos!C:C)</f>
        <v>0</v>
      </c>
      <c r="H309" s="135">
        <f>SUMIF(Formatos!A:A,'Memória TOTAL'!X310,Formatos!D:D)</f>
        <v>0</v>
      </c>
      <c r="I309" s="135">
        <f>SUMIF(Densidades!A:A,'Memória TOTAL'!X309,Densidades!H:H)</f>
        <v>0</v>
      </c>
      <c r="J309" s="136">
        <f>SUMIF(Formatos!A:A,'Memória TOTAL'!X310,Formatos!G:G)</f>
        <v>0</v>
      </c>
      <c r="K309" s="222">
        <f>SUMIF(Densidades!A:A,'Memória TOTAL'!X309,Densidades!I:I)</f>
        <v>177</v>
      </c>
      <c r="L309" s="223">
        <v>0</v>
      </c>
      <c r="M309" s="195"/>
      <c r="N309" s="195"/>
      <c r="O309" s="195"/>
      <c r="P309" s="195"/>
      <c r="Q309" s="195"/>
      <c r="R309" s="195"/>
      <c r="S309" s="195"/>
      <c r="T309" s="232"/>
      <c r="U309" s="195"/>
      <c r="V309" s="233">
        <f>IF(H341="","-",SUM(H341))</f>
        <v>0</v>
      </c>
      <c r="W309" s="193">
        <f>IF(V309="-","",ROUNDUP(SUM(V309)*(1+L309),0))</f>
        <v>0</v>
      </c>
      <c r="X309" s="141" t="str">
        <f>X305</f>
        <v/>
      </c>
      <c r="Z309" s="187"/>
      <c r="AA309" s="187"/>
    </row>
    <row r="310" spans="1:27" s="186" customFormat="1" ht="15" customHeight="1">
      <c r="A310" s="215"/>
      <c r="B310" s="194"/>
      <c r="C310" s="200"/>
      <c r="D310" s="195"/>
      <c r="E310" s="195"/>
      <c r="F310" s="195"/>
      <c r="G310" s="195"/>
      <c r="H310" s="195"/>
      <c r="I310" s="195"/>
      <c r="J310" s="196"/>
      <c r="K310" s="196"/>
      <c r="L310" s="144"/>
      <c r="M310" s="195"/>
      <c r="N310" s="195"/>
      <c r="O310" s="195"/>
      <c r="P310" s="195"/>
      <c r="Q310" s="195"/>
      <c r="R310" s="195"/>
      <c r="S310" s="195"/>
      <c r="T310" s="195"/>
      <c r="U310" s="195"/>
      <c r="V310" s="197"/>
      <c r="W310" s="185"/>
      <c r="X310" s="141" t="str">
        <f>IF(X309="","",G341)</f>
        <v/>
      </c>
      <c r="Z310" s="187"/>
      <c r="AA310" s="187"/>
    </row>
    <row r="311" spans="1:27" s="186" customFormat="1" ht="15" customHeight="1">
      <c r="A311" s="215"/>
      <c r="B311" s="194"/>
      <c r="C311" s="200"/>
      <c r="D311" s="195"/>
      <c r="E311" s="195"/>
      <c r="F311" s="195"/>
      <c r="G311" s="195"/>
      <c r="H311" s="195"/>
      <c r="I311" s="195"/>
      <c r="J311" s="196"/>
      <c r="K311" s="196"/>
      <c r="L311" s="144"/>
      <c r="M311" s="195"/>
      <c r="N311" s="195"/>
      <c r="O311" s="195"/>
      <c r="P311" s="195"/>
      <c r="Q311" s="195"/>
      <c r="R311" s="195"/>
      <c r="S311" s="195"/>
      <c r="T311" s="195"/>
      <c r="U311" s="195"/>
      <c r="V311" s="197"/>
      <c r="W311" s="185"/>
      <c r="X311" s="141" t="s">
        <v>524</v>
      </c>
      <c r="Z311" s="187"/>
      <c r="AA311" s="187"/>
    </row>
    <row r="312" spans="1:27" s="186" customFormat="1" ht="15" customHeight="1">
      <c r="A312" s="215"/>
      <c r="B312" s="194"/>
      <c r="C312" s="200" t="str">
        <f t="shared" ref="C312:L312" si="53">C308</f>
        <v>Dens.</v>
      </c>
      <c r="D312" s="195" t="str">
        <f t="shared" si="53"/>
        <v>Emb.</v>
      </c>
      <c r="E312" s="238" t="str">
        <f t="shared" si="53"/>
        <v>Esp. Tij.</v>
      </c>
      <c r="F312" s="238" t="str">
        <f t="shared" si="53"/>
        <v>Esp. Tij.</v>
      </c>
      <c r="G312" s="238" t="str">
        <f t="shared" si="53"/>
        <v>Comp. Tij.</v>
      </c>
      <c r="H312" s="238" t="str">
        <f t="shared" si="53"/>
        <v>Larg. Tij.</v>
      </c>
      <c r="I312" s="238" t="str">
        <f t="shared" si="53"/>
        <v>Tipo Fator</v>
      </c>
      <c r="J312" s="238" t="str">
        <f t="shared" si="53"/>
        <v>Vol.</v>
      </c>
      <c r="K312" s="238" t="str">
        <f t="shared" si="53"/>
        <v>Class.</v>
      </c>
      <c r="L312" s="195" t="str">
        <f t="shared" si="53"/>
        <v>Coefic. (%)</v>
      </c>
      <c r="M312" s="195"/>
      <c r="N312" s="195"/>
      <c r="O312" s="195"/>
      <c r="P312" s="195"/>
      <c r="Q312" s="195"/>
      <c r="R312" s="195"/>
      <c r="S312" s="195"/>
      <c r="T312" s="195"/>
      <c r="U312" s="195"/>
      <c r="V312" s="197"/>
      <c r="W312" s="185"/>
      <c r="X312" s="141"/>
      <c r="Z312" s="187"/>
      <c r="AA312" s="187"/>
    </row>
    <row r="313" spans="1:27" s="186" customFormat="1" ht="15" customHeight="1">
      <c r="A313" s="215"/>
      <c r="B313" s="194"/>
      <c r="C313" s="133">
        <f>SUMIF(Densidades!A:A,'Memória TOTAL'!X313,Densidades!B:B)</f>
        <v>0</v>
      </c>
      <c r="D313" s="134">
        <f>SUMIF(Densidades!A:A,'Memória TOTAL'!X313,Densidades!C:C)</f>
        <v>620</v>
      </c>
      <c r="E313" s="135">
        <f>SUMIF(Formatos!A:A,'Memória TOTAL'!X314,Formatos!E:E)</f>
        <v>0</v>
      </c>
      <c r="F313" s="135">
        <f>SUMIF(Formatos!A:A,'Memória TOTAL'!X314,Formatos!F:F)</f>
        <v>0</v>
      </c>
      <c r="G313" s="135">
        <f>SUMIF(Formatos!A:A,'Memória TOTAL'!X314,Formatos!C:C)</f>
        <v>0</v>
      </c>
      <c r="H313" s="135">
        <f>SUMIF(Formatos!A:A,'Memória TOTAL'!X314,Formatos!D:D)</f>
        <v>0</v>
      </c>
      <c r="I313" s="135">
        <f>SUMIF(Densidades!A:A,'Memória TOTAL'!X313,Densidades!H:H)</f>
        <v>0</v>
      </c>
      <c r="J313" s="136">
        <f>SUMIF(Formatos!A:A,'Memória TOTAL'!X314,Formatos!G:G)</f>
        <v>0</v>
      </c>
      <c r="K313" s="222">
        <f>SUMIF(Densidades!A:A,'Memória TOTAL'!X313,Densidades!I:I)</f>
        <v>177</v>
      </c>
      <c r="L313" s="223">
        <v>0</v>
      </c>
      <c r="M313" s="195"/>
      <c r="N313" s="195"/>
      <c r="O313" s="195"/>
      <c r="P313" s="195"/>
      <c r="Q313" s="195"/>
      <c r="R313" s="195"/>
      <c r="S313" s="195"/>
      <c r="T313" s="232"/>
      <c r="U313" s="195"/>
      <c r="V313" s="233">
        <f>IF(H342="","-",SUM(H342))</f>
        <v>0</v>
      </c>
      <c r="W313" s="193">
        <f>IF(V313="-","",ROUNDUP(SUM(V313)*(1+L313),0))</f>
        <v>0</v>
      </c>
      <c r="X313" s="141" t="str">
        <f>X309</f>
        <v/>
      </c>
      <c r="Z313" s="187"/>
      <c r="AA313" s="187"/>
    </row>
    <row r="314" spans="1:27" s="186" customFormat="1" ht="15" customHeight="1">
      <c r="A314" s="215"/>
      <c r="B314" s="194"/>
      <c r="C314" s="200"/>
      <c r="D314" s="195"/>
      <c r="E314" s="195"/>
      <c r="F314" s="195"/>
      <c r="G314" s="195"/>
      <c r="H314" s="195"/>
      <c r="I314" s="195"/>
      <c r="J314" s="196"/>
      <c r="K314" s="196"/>
      <c r="L314" s="144"/>
      <c r="M314" s="195"/>
      <c r="N314" s="195"/>
      <c r="O314" s="195"/>
      <c r="P314" s="195"/>
      <c r="Q314" s="195"/>
      <c r="R314" s="195"/>
      <c r="S314" s="195"/>
      <c r="T314" s="195"/>
      <c r="U314" s="195"/>
      <c r="V314" s="197"/>
      <c r="W314" s="185"/>
      <c r="X314" s="141" t="str">
        <f>IF(X313="","",G342)</f>
        <v/>
      </c>
      <c r="Z314" s="187"/>
      <c r="AA314" s="187"/>
    </row>
    <row r="315" spans="1:27" s="186" customFormat="1" ht="15" customHeight="1">
      <c r="A315" s="215"/>
      <c r="B315" s="194"/>
      <c r="C315" s="200"/>
      <c r="D315" s="195"/>
      <c r="E315" s="195"/>
      <c r="F315" s="195"/>
      <c r="G315" s="195"/>
      <c r="H315" s="195"/>
      <c r="I315" s="195"/>
      <c r="J315" s="196"/>
      <c r="K315" s="196"/>
      <c r="L315" s="144"/>
      <c r="M315" s="195"/>
      <c r="N315" s="195"/>
      <c r="O315" s="195"/>
      <c r="P315" s="195"/>
      <c r="Q315" s="195"/>
      <c r="R315" s="195"/>
      <c r="S315" s="195"/>
      <c r="T315" s="195"/>
      <c r="U315" s="195"/>
      <c r="V315" s="197"/>
      <c r="W315" s="185"/>
      <c r="X315" s="141" t="s">
        <v>524</v>
      </c>
      <c r="Z315" s="187"/>
      <c r="AA315" s="187"/>
    </row>
    <row r="316" spans="1:27" s="186" customFormat="1" ht="15" customHeight="1">
      <c r="A316" s="215"/>
      <c r="B316" s="194"/>
      <c r="C316" s="200" t="str">
        <f t="shared" ref="C316:L316" si="54">C312</f>
        <v>Dens.</v>
      </c>
      <c r="D316" s="195" t="str">
        <f t="shared" si="54"/>
        <v>Emb.</v>
      </c>
      <c r="E316" s="238" t="str">
        <f t="shared" si="54"/>
        <v>Esp. Tij.</v>
      </c>
      <c r="F316" s="238" t="str">
        <f t="shared" si="54"/>
        <v>Esp. Tij.</v>
      </c>
      <c r="G316" s="238" t="str">
        <f t="shared" si="54"/>
        <v>Comp. Tij.</v>
      </c>
      <c r="H316" s="238" t="str">
        <f t="shared" si="54"/>
        <v>Larg. Tij.</v>
      </c>
      <c r="I316" s="238" t="str">
        <f t="shared" si="54"/>
        <v>Tipo Fator</v>
      </c>
      <c r="J316" s="238" t="str">
        <f t="shared" si="54"/>
        <v>Vol.</v>
      </c>
      <c r="K316" s="238" t="str">
        <f t="shared" si="54"/>
        <v>Class.</v>
      </c>
      <c r="L316" s="195" t="str">
        <f t="shared" si="54"/>
        <v>Coefic. (%)</v>
      </c>
      <c r="M316" s="195"/>
      <c r="N316" s="195"/>
      <c r="O316" s="195"/>
      <c r="P316" s="195"/>
      <c r="Q316" s="195"/>
      <c r="R316" s="195"/>
      <c r="S316" s="195"/>
      <c r="T316" s="195"/>
      <c r="U316" s="195"/>
      <c r="V316" s="197"/>
      <c r="W316" s="185"/>
      <c r="X316" s="141"/>
      <c r="Z316" s="187"/>
      <c r="AA316" s="187"/>
    </row>
    <row r="317" spans="1:27" s="186" customFormat="1" ht="15" customHeight="1">
      <c r="A317" s="215"/>
      <c r="B317" s="194"/>
      <c r="C317" s="133">
        <f>SUMIF(Densidades!A:A,'Memória TOTAL'!X317,Densidades!B:B)</f>
        <v>0</v>
      </c>
      <c r="D317" s="134">
        <f>SUMIF(Densidades!A:A,'Memória TOTAL'!X317,Densidades!C:C)</f>
        <v>620</v>
      </c>
      <c r="E317" s="135">
        <f>SUMIF(Formatos!A:A,'Memória TOTAL'!X318,Formatos!E:E)</f>
        <v>0</v>
      </c>
      <c r="F317" s="135">
        <f>SUMIF(Formatos!A:A,'Memória TOTAL'!X318,Formatos!F:F)</f>
        <v>0</v>
      </c>
      <c r="G317" s="135">
        <f>SUMIF(Formatos!A:A,'Memória TOTAL'!X318,Formatos!C:C)</f>
        <v>0</v>
      </c>
      <c r="H317" s="135">
        <f>SUMIF(Formatos!A:A,'Memória TOTAL'!X318,Formatos!D:D)</f>
        <v>0</v>
      </c>
      <c r="I317" s="135">
        <f>SUMIF(Densidades!A:A,'Memória TOTAL'!X317,Densidades!H:H)</f>
        <v>0</v>
      </c>
      <c r="J317" s="136">
        <f>SUMIF(Formatos!A:A,'Memória TOTAL'!X318,Formatos!G:G)</f>
        <v>0</v>
      </c>
      <c r="K317" s="222">
        <f>SUMIF(Densidades!A:A,'Memória TOTAL'!X317,Densidades!I:I)</f>
        <v>177</v>
      </c>
      <c r="L317" s="223">
        <v>0</v>
      </c>
      <c r="M317" s="195"/>
      <c r="N317" s="195"/>
      <c r="O317" s="195"/>
      <c r="P317" s="195"/>
      <c r="Q317" s="195"/>
      <c r="R317" s="195"/>
      <c r="S317" s="195"/>
      <c r="T317" s="232"/>
      <c r="U317" s="195"/>
      <c r="V317" s="233">
        <f>IF(H343="","-",SUM(H343))</f>
        <v>0</v>
      </c>
      <c r="W317" s="193">
        <f>IF(V317="-","",ROUNDUP(SUM(V317)*(1+L317),0))</f>
        <v>0</v>
      </c>
      <c r="X317" s="141" t="str">
        <f>X313</f>
        <v/>
      </c>
      <c r="Z317" s="187"/>
      <c r="AA317" s="187"/>
    </row>
    <row r="318" spans="1:27" s="186" customFormat="1" ht="15" customHeight="1">
      <c r="A318" s="215"/>
      <c r="B318" s="194"/>
      <c r="C318" s="200"/>
      <c r="D318" s="195"/>
      <c r="E318" s="195"/>
      <c r="F318" s="195"/>
      <c r="G318" s="195"/>
      <c r="H318" s="195"/>
      <c r="I318" s="195"/>
      <c r="J318" s="196"/>
      <c r="K318" s="196"/>
      <c r="L318" s="144"/>
      <c r="M318" s="195"/>
      <c r="N318" s="195"/>
      <c r="O318" s="195"/>
      <c r="P318" s="195"/>
      <c r="Q318" s="195"/>
      <c r="R318" s="195"/>
      <c r="S318" s="195"/>
      <c r="T318" s="195"/>
      <c r="U318" s="195"/>
      <c r="V318" s="197"/>
      <c r="W318" s="185"/>
      <c r="X318" s="141" t="str">
        <f>IF(X317="","",G343)</f>
        <v/>
      </c>
      <c r="Z318" s="187"/>
      <c r="AA318" s="187"/>
    </row>
    <row r="319" spans="1:27" s="186" customFormat="1" ht="15" customHeight="1">
      <c r="A319" s="215"/>
      <c r="B319" s="194"/>
      <c r="C319" s="200"/>
      <c r="D319" s="195"/>
      <c r="E319" s="195"/>
      <c r="F319" s="195"/>
      <c r="G319" s="195"/>
      <c r="H319" s="195"/>
      <c r="I319" s="195"/>
      <c r="J319" s="196"/>
      <c r="K319" s="196"/>
      <c r="L319" s="144"/>
      <c r="M319" s="195"/>
      <c r="N319" s="195"/>
      <c r="O319" s="195"/>
      <c r="P319" s="195"/>
      <c r="Q319" s="195"/>
      <c r="R319" s="195"/>
      <c r="S319" s="195"/>
      <c r="T319" s="195"/>
      <c r="U319" s="195"/>
      <c r="V319" s="197"/>
      <c r="W319" s="185"/>
      <c r="X319" s="141" t="s">
        <v>524</v>
      </c>
      <c r="Z319" s="187"/>
      <c r="AA319" s="187"/>
    </row>
    <row r="320" spans="1:27" s="186" customFormat="1" ht="15" customHeight="1">
      <c r="A320" s="215"/>
      <c r="B320" s="194"/>
      <c r="C320" s="200" t="str">
        <f t="shared" ref="C320:L320" si="55">C316</f>
        <v>Dens.</v>
      </c>
      <c r="D320" s="195" t="str">
        <f t="shared" si="55"/>
        <v>Emb.</v>
      </c>
      <c r="E320" s="238" t="str">
        <f t="shared" si="55"/>
        <v>Esp. Tij.</v>
      </c>
      <c r="F320" s="238" t="str">
        <f t="shared" si="55"/>
        <v>Esp. Tij.</v>
      </c>
      <c r="G320" s="238" t="str">
        <f t="shared" si="55"/>
        <v>Comp. Tij.</v>
      </c>
      <c r="H320" s="238" t="str">
        <f t="shared" si="55"/>
        <v>Larg. Tij.</v>
      </c>
      <c r="I320" s="238" t="str">
        <f t="shared" si="55"/>
        <v>Tipo Fator</v>
      </c>
      <c r="J320" s="238" t="str">
        <f t="shared" si="55"/>
        <v>Vol.</v>
      </c>
      <c r="K320" s="238" t="str">
        <f t="shared" si="55"/>
        <v>Class.</v>
      </c>
      <c r="L320" s="195" t="str">
        <f t="shared" si="55"/>
        <v>Coefic. (%)</v>
      </c>
      <c r="M320" s="195"/>
      <c r="N320" s="195"/>
      <c r="O320" s="195"/>
      <c r="P320" s="195"/>
      <c r="Q320" s="195"/>
      <c r="R320" s="195"/>
      <c r="S320" s="195"/>
      <c r="T320" s="195"/>
      <c r="U320" s="195"/>
      <c r="V320" s="197"/>
      <c r="W320" s="185"/>
      <c r="X320" s="141"/>
      <c r="Z320" s="187"/>
      <c r="AA320" s="187"/>
    </row>
    <row r="321" spans="1:27" s="186" customFormat="1" ht="15" customHeight="1">
      <c r="A321" s="215"/>
      <c r="B321" s="194"/>
      <c r="C321" s="133">
        <f>SUMIF(Densidades!A:A,'Memória TOTAL'!X321,Densidades!B:B)</f>
        <v>0</v>
      </c>
      <c r="D321" s="134">
        <f>SUMIF(Densidades!A:A,'Memória TOTAL'!X321,Densidades!C:C)</f>
        <v>620</v>
      </c>
      <c r="E321" s="135">
        <f>SUMIF(Formatos!A:A,'Memória TOTAL'!X322,Formatos!E:E)</f>
        <v>0</v>
      </c>
      <c r="F321" s="135">
        <f>SUMIF(Formatos!A:A,'Memória TOTAL'!X322,Formatos!F:F)</f>
        <v>0</v>
      </c>
      <c r="G321" s="135">
        <f>SUMIF(Formatos!A:A,'Memória TOTAL'!X322,Formatos!C:C)</f>
        <v>0</v>
      </c>
      <c r="H321" s="135">
        <f>SUMIF(Formatos!A:A,'Memória TOTAL'!X322,Formatos!D:D)</f>
        <v>0</v>
      </c>
      <c r="I321" s="135">
        <f>SUMIF(Densidades!A:A,'Memória TOTAL'!X321,Densidades!H:H)</f>
        <v>0</v>
      </c>
      <c r="J321" s="136">
        <f>SUMIF(Formatos!A:A,'Memória TOTAL'!X322,Formatos!G:G)</f>
        <v>0</v>
      </c>
      <c r="K321" s="222">
        <f>SUMIF(Densidades!A:A,'Memória TOTAL'!X321,Densidades!I:I)</f>
        <v>177</v>
      </c>
      <c r="L321" s="223">
        <v>0</v>
      </c>
      <c r="M321" s="195"/>
      <c r="N321" s="195"/>
      <c r="O321" s="195"/>
      <c r="P321" s="195"/>
      <c r="Q321" s="195"/>
      <c r="R321" s="195"/>
      <c r="S321" s="195"/>
      <c r="T321" s="232"/>
      <c r="U321" s="195"/>
      <c r="V321" s="233">
        <f>IF(H344="","-",SUM(H344))</f>
        <v>0</v>
      </c>
      <c r="W321" s="193">
        <f>IF(V321="-","",ROUNDUP(SUM(V321)*(1+L321),0))</f>
        <v>0</v>
      </c>
      <c r="X321" s="141" t="str">
        <f>X317</f>
        <v/>
      </c>
      <c r="Z321" s="187"/>
      <c r="AA321" s="187"/>
    </row>
    <row r="322" spans="1:27" s="186" customFormat="1" ht="15" customHeight="1">
      <c r="A322" s="215"/>
      <c r="B322" s="194"/>
      <c r="C322" s="200"/>
      <c r="D322" s="195"/>
      <c r="E322" s="195"/>
      <c r="F322" s="195"/>
      <c r="G322" s="195"/>
      <c r="H322" s="195"/>
      <c r="I322" s="195"/>
      <c r="J322" s="196"/>
      <c r="K322" s="196"/>
      <c r="L322" s="144"/>
      <c r="M322" s="195"/>
      <c r="N322" s="195"/>
      <c r="O322" s="195"/>
      <c r="P322" s="195"/>
      <c r="Q322" s="195"/>
      <c r="R322" s="195"/>
      <c r="S322" s="195"/>
      <c r="T322" s="195"/>
      <c r="U322" s="195"/>
      <c r="V322" s="197"/>
      <c r="W322" s="185"/>
      <c r="X322" s="141" t="str">
        <f>IF(X321="","",G344)</f>
        <v/>
      </c>
      <c r="Z322" s="187"/>
      <c r="AA322" s="187"/>
    </row>
    <row r="323" spans="1:27" s="186" customFormat="1" ht="15" customHeight="1">
      <c r="A323" s="215"/>
      <c r="B323" s="194"/>
      <c r="C323" s="200"/>
      <c r="D323" s="195"/>
      <c r="E323" s="195"/>
      <c r="F323" s="195"/>
      <c r="G323" s="195"/>
      <c r="H323" s="195"/>
      <c r="I323" s="195"/>
      <c r="J323" s="196"/>
      <c r="K323" s="196"/>
      <c r="L323" s="144"/>
      <c r="M323" s="195"/>
      <c r="N323" s="195"/>
      <c r="O323" s="195"/>
      <c r="P323" s="195"/>
      <c r="Q323" s="195"/>
      <c r="R323" s="195"/>
      <c r="S323" s="195"/>
      <c r="T323" s="195"/>
      <c r="U323" s="195"/>
      <c r="V323" s="197"/>
      <c r="W323" s="185"/>
      <c r="X323" s="141" t="s">
        <v>524</v>
      </c>
      <c r="Z323" s="187"/>
      <c r="AA323" s="187"/>
    </row>
    <row r="324" spans="1:27" s="186" customFormat="1" ht="15" customHeight="1">
      <c r="A324" s="215"/>
      <c r="B324" s="194"/>
      <c r="C324" s="200" t="str">
        <f t="shared" ref="C324:L324" si="56">C320</f>
        <v>Dens.</v>
      </c>
      <c r="D324" s="195" t="str">
        <f t="shared" si="56"/>
        <v>Emb.</v>
      </c>
      <c r="E324" s="238" t="str">
        <f t="shared" si="56"/>
        <v>Esp. Tij.</v>
      </c>
      <c r="F324" s="238" t="str">
        <f t="shared" si="56"/>
        <v>Esp. Tij.</v>
      </c>
      <c r="G324" s="238" t="str">
        <f t="shared" si="56"/>
        <v>Comp. Tij.</v>
      </c>
      <c r="H324" s="238" t="str">
        <f t="shared" si="56"/>
        <v>Larg. Tij.</v>
      </c>
      <c r="I324" s="238" t="str">
        <f t="shared" si="56"/>
        <v>Tipo Fator</v>
      </c>
      <c r="J324" s="238" t="str">
        <f t="shared" si="56"/>
        <v>Vol.</v>
      </c>
      <c r="K324" s="238" t="str">
        <f t="shared" si="56"/>
        <v>Class.</v>
      </c>
      <c r="L324" s="195" t="str">
        <f t="shared" si="56"/>
        <v>Coefic. (%)</v>
      </c>
      <c r="M324" s="195"/>
      <c r="N324" s="195" t="s">
        <v>1094</v>
      </c>
      <c r="O324" s="195"/>
      <c r="P324" s="195"/>
      <c r="Q324" s="195"/>
      <c r="R324" s="195"/>
      <c r="S324" s="195"/>
      <c r="T324" s="195"/>
      <c r="U324" s="195"/>
      <c r="V324" s="197"/>
      <c r="W324" s="185"/>
      <c r="X324" s="141"/>
      <c r="Z324" s="187"/>
      <c r="AA324" s="187"/>
    </row>
    <row r="325" spans="1:27" s="186" customFormat="1" ht="15" customHeight="1">
      <c r="A325" s="215"/>
      <c r="B325" s="194"/>
      <c r="C325" s="133">
        <f>SUMIF(Densidades!A:A,'Memória TOTAL'!X325,Densidades!B:B)</f>
        <v>0</v>
      </c>
      <c r="D325" s="134">
        <f>SUMIF(Densidades!A:A,'Memória TOTAL'!X325,Densidades!C:C)</f>
        <v>620</v>
      </c>
      <c r="E325" s="135">
        <f>SUMIF(Formatos!A:A,'Memória TOTAL'!X326,Formatos!E:E)</f>
        <v>0</v>
      </c>
      <c r="F325" s="135">
        <f>SUMIF(Formatos!A:A,'Memória TOTAL'!X326,Formatos!F:F)</f>
        <v>0</v>
      </c>
      <c r="G325" s="135">
        <f>SUMIF(Formatos!A:A,'Memória TOTAL'!X326,Formatos!C:C)</f>
        <v>0</v>
      </c>
      <c r="H325" s="135">
        <f>SUMIF(Formatos!A:A,'Memória TOTAL'!X326,Formatos!D:D)</f>
        <v>0</v>
      </c>
      <c r="I325" s="135">
        <f>SUMIF(Densidades!A:A,'Memória TOTAL'!X325,Densidades!H:H)</f>
        <v>0</v>
      </c>
      <c r="J325" s="136">
        <f>SUMIF(Formatos!A:A,'Memória TOTAL'!X326,Formatos!G:G)</f>
        <v>0</v>
      </c>
      <c r="K325" s="222">
        <f>SUMIF(Densidades!A:A,'Memória TOTAL'!X325,Densidades!I:I)</f>
        <v>177</v>
      </c>
      <c r="L325" s="223">
        <v>0</v>
      </c>
      <c r="M325" s="195"/>
      <c r="N325" s="195"/>
      <c r="O325" s="195"/>
      <c r="P325" s="195"/>
      <c r="Q325" s="195"/>
      <c r="R325" s="195"/>
      <c r="S325" s="195"/>
      <c r="T325" s="232"/>
      <c r="U325" s="195"/>
      <c r="V325" s="233">
        <f>IF(H345="","-",SUM(H345))</f>
        <v>0</v>
      </c>
      <c r="W325" s="193">
        <f>IF(V325="-","",ROUNDUP(SUM(V325)*(1+L325),0))</f>
        <v>0</v>
      </c>
      <c r="X325" s="141" t="str">
        <f>X321</f>
        <v/>
      </c>
      <c r="Z325" s="187"/>
      <c r="AA325" s="187"/>
    </row>
    <row r="326" spans="1:27" s="186" customFormat="1" ht="15" customHeight="1">
      <c r="A326" s="215"/>
      <c r="B326" s="194"/>
      <c r="C326" s="200"/>
      <c r="D326" s="195"/>
      <c r="E326" s="195"/>
      <c r="F326" s="195"/>
      <c r="G326" s="195"/>
      <c r="H326" s="195"/>
      <c r="I326" s="195"/>
      <c r="J326" s="196"/>
      <c r="K326" s="196"/>
      <c r="L326" s="144"/>
      <c r="M326" s="195"/>
      <c r="N326" s="241"/>
      <c r="O326" s="241"/>
      <c r="P326" s="241"/>
      <c r="Q326" s="241"/>
      <c r="R326" s="241"/>
      <c r="S326" s="241"/>
      <c r="T326" s="241"/>
      <c r="U326" s="241"/>
      <c r="V326" s="197"/>
      <c r="W326" s="185"/>
      <c r="X326" s="141" t="str">
        <f>IF(X325="","",G345)</f>
        <v/>
      </c>
      <c r="Z326" s="187"/>
      <c r="AA326" s="187"/>
    </row>
    <row r="327" spans="1:27" s="186" customFormat="1" ht="15" customHeight="1">
      <c r="A327" s="215"/>
      <c r="B327" s="194"/>
      <c r="C327" s="200"/>
      <c r="D327" s="195"/>
      <c r="E327" s="195"/>
      <c r="F327" s="195"/>
      <c r="G327" s="195"/>
      <c r="H327" s="195"/>
      <c r="I327" s="195"/>
      <c r="J327" s="196"/>
      <c r="K327" s="196"/>
      <c r="L327" s="144"/>
      <c r="M327" s="235"/>
      <c r="N327" s="334" t="s">
        <v>1082</v>
      </c>
      <c r="O327" s="335"/>
      <c r="P327" s="335"/>
      <c r="Q327" s="335"/>
      <c r="R327" s="335"/>
      <c r="S327" s="335"/>
      <c r="T327" s="335"/>
      <c r="U327" s="335"/>
      <c r="V327" s="333"/>
      <c r="W327" s="185"/>
      <c r="X327" s="141" t="s">
        <v>524</v>
      </c>
      <c r="Z327" s="187"/>
      <c r="AA327" s="187"/>
    </row>
    <row r="328" spans="1:27" s="186" customFormat="1" ht="15" customHeight="1">
      <c r="A328" s="215"/>
      <c r="B328" s="194"/>
      <c r="C328" s="200" t="str">
        <f t="shared" ref="C328:L328" si="57">C324</f>
        <v>Dens.</v>
      </c>
      <c r="D328" s="195" t="str">
        <f t="shared" si="57"/>
        <v>Emb.</v>
      </c>
      <c r="E328" s="238" t="str">
        <f t="shared" si="57"/>
        <v>Esp. Tij.</v>
      </c>
      <c r="F328" s="238" t="str">
        <f t="shared" si="57"/>
        <v>Esp. Tij.</v>
      </c>
      <c r="G328" s="238" t="str">
        <f t="shared" si="57"/>
        <v>Comp. Tij.</v>
      </c>
      <c r="H328" s="238" t="str">
        <f t="shared" si="57"/>
        <v>Larg. Tij.</v>
      </c>
      <c r="I328" s="238" t="str">
        <f t="shared" si="57"/>
        <v>Tipo Fator</v>
      </c>
      <c r="J328" s="238" t="str">
        <f t="shared" si="57"/>
        <v>Vol.</v>
      </c>
      <c r="K328" s="238" t="str">
        <f t="shared" si="57"/>
        <v>Class.</v>
      </c>
      <c r="L328" s="195" t="str">
        <f t="shared" si="57"/>
        <v>Coefic. (%)</v>
      </c>
      <c r="M328" s="235"/>
      <c r="N328" s="334" t="s">
        <v>2187</v>
      </c>
      <c r="O328" s="335"/>
      <c r="P328" s="335"/>
      <c r="Q328" s="335"/>
      <c r="R328" s="335"/>
      <c r="S328" s="335"/>
      <c r="T328" s="335"/>
      <c r="U328" s="335"/>
      <c r="V328" s="333"/>
      <c r="W328" s="185"/>
      <c r="X328" s="141"/>
      <c r="Z328" s="187"/>
      <c r="AA328" s="187"/>
    </row>
    <row r="329" spans="1:27" s="186" customFormat="1" ht="15" customHeight="1">
      <c r="A329" s="215"/>
      <c r="B329" s="194"/>
      <c r="C329" s="133">
        <f>SUMIF(Densidades!A:A,'Memória TOTAL'!X329,Densidades!B:B)</f>
        <v>0</v>
      </c>
      <c r="D329" s="134">
        <f>SUMIF(Densidades!A:A,'Memória TOTAL'!X329,Densidades!C:C)</f>
        <v>620</v>
      </c>
      <c r="E329" s="135">
        <f>SUMIF(Formatos!A:A,'Memória TOTAL'!X330,Formatos!E:E)</f>
        <v>0</v>
      </c>
      <c r="F329" s="135">
        <f>SUMIF(Formatos!A:A,'Memória TOTAL'!X330,Formatos!F:F)</f>
        <v>0</v>
      </c>
      <c r="G329" s="135">
        <f>SUMIF(Formatos!A:A,'Memória TOTAL'!X330,Formatos!C:C)</f>
        <v>0</v>
      </c>
      <c r="H329" s="135">
        <f>SUMIF(Formatos!A:A,'Memória TOTAL'!X330,Formatos!D:D)</f>
        <v>0</v>
      </c>
      <c r="I329" s="135">
        <f>SUMIF(Densidades!A:A,'Memória TOTAL'!X329,Densidades!H:H)</f>
        <v>0</v>
      </c>
      <c r="J329" s="136">
        <f>SUMIF(Formatos!A:A,'Memória TOTAL'!X330,Formatos!G:G)</f>
        <v>0</v>
      </c>
      <c r="K329" s="222">
        <f>SUMIF(Densidades!A:A,'Memória TOTAL'!X329,Densidades!I:I)</f>
        <v>177</v>
      </c>
      <c r="L329" s="223">
        <v>0</v>
      </c>
      <c r="M329" s="235"/>
      <c r="N329" s="334" t="s">
        <v>2181</v>
      </c>
      <c r="O329" s="335"/>
      <c r="P329" s="335"/>
      <c r="Q329" s="335"/>
      <c r="R329" s="335"/>
      <c r="S329" s="335"/>
      <c r="T329" s="336"/>
      <c r="U329" s="335"/>
      <c r="V329" s="269">
        <f>IF(H346="","-",SUM(H346))</f>
        <v>0</v>
      </c>
      <c r="W329" s="193">
        <f>IF(V329="-","",ROUNDUP(SUM(V329)*(1+L329),0))</f>
        <v>0</v>
      </c>
      <c r="X329" s="141" t="str">
        <f>X325</f>
        <v/>
      </c>
      <c r="Z329" s="187"/>
      <c r="AA329" s="187"/>
    </row>
    <row r="330" spans="1:27" s="186" customFormat="1" ht="15" customHeight="1">
      <c r="A330" s="215"/>
      <c r="B330" s="194"/>
      <c r="C330" s="200"/>
      <c r="D330" s="195"/>
      <c r="E330" s="195"/>
      <c r="F330" s="195"/>
      <c r="G330" s="195"/>
      <c r="H330" s="195"/>
      <c r="I330" s="195"/>
      <c r="J330" s="196"/>
      <c r="K330" s="196"/>
      <c r="L330" s="144"/>
      <c r="M330" s="235"/>
      <c r="N330" s="334" t="s">
        <v>2182</v>
      </c>
      <c r="O330" s="335"/>
      <c r="P330" s="335"/>
      <c r="Q330" s="335"/>
      <c r="R330" s="335"/>
      <c r="S330" s="335"/>
      <c r="T330" s="335"/>
      <c r="U330" s="335"/>
      <c r="V330" s="333"/>
      <c r="W330" s="185"/>
      <c r="X330" s="141" t="str">
        <f>IF(X329="","",G346)</f>
        <v/>
      </c>
      <c r="Z330" s="187"/>
      <c r="AA330" s="187"/>
    </row>
    <row r="331" spans="1:27" s="186" customFormat="1" ht="15" customHeight="1">
      <c r="A331" s="215"/>
      <c r="B331" s="194"/>
      <c r="C331" s="200"/>
      <c r="D331" s="195"/>
      <c r="E331" s="195"/>
      <c r="F331" s="195"/>
      <c r="G331" s="195"/>
      <c r="H331" s="195"/>
      <c r="I331" s="195"/>
      <c r="J331" s="196"/>
      <c r="K331" s="196"/>
      <c r="L331" s="144"/>
      <c r="M331" s="235"/>
      <c r="N331" s="334" t="s">
        <v>2183</v>
      </c>
      <c r="O331" s="335"/>
      <c r="P331" s="335"/>
      <c r="Q331" s="335"/>
      <c r="R331" s="335"/>
      <c r="S331" s="335"/>
      <c r="T331" s="335"/>
      <c r="U331" s="335"/>
      <c r="V331" s="333"/>
      <c r="W331" s="185"/>
      <c r="X331" s="141" t="s">
        <v>524</v>
      </c>
      <c r="Z331" s="187"/>
      <c r="AA331" s="187"/>
    </row>
    <row r="332" spans="1:27" s="186" customFormat="1" ht="15" customHeight="1">
      <c r="A332" s="215"/>
      <c r="B332" s="194"/>
      <c r="C332" s="200" t="str">
        <f t="shared" ref="C332:L332" si="58">C328</f>
        <v>Dens.</v>
      </c>
      <c r="D332" s="195" t="str">
        <f t="shared" si="58"/>
        <v>Emb.</v>
      </c>
      <c r="E332" s="238" t="str">
        <f t="shared" si="58"/>
        <v>Esp. Tij.</v>
      </c>
      <c r="F332" s="238" t="str">
        <f t="shared" si="58"/>
        <v>Esp. Tij.</v>
      </c>
      <c r="G332" s="238" t="str">
        <f t="shared" si="58"/>
        <v>Comp. Tij.</v>
      </c>
      <c r="H332" s="238" t="str">
        <f t="shared" si="58"/>
        <v>Larg. Tij.</v>
      </c>
      <c r="I332" s="238" t="str">
        <f t="shared" si="58"/>
        <v>Tipo Fator</v>
      </c>
      <c r="J332" s="238" t="str">
        <f t="shared" si="58"/>
        <v>Vol.</v>
      </c>
      <c r="K332" s="238" t="str">
        <f t="shared" si="58"/>
        <v>Class.</v>
      </c>
      <c r="L332" s="195" t="str">
        <f t="shared" si="58"/>
        <v>Coefic. (%)</v>
      </c>
      <c r="M332" s="235"/>
      <c r="N332" s="334" t="s">
        <v>2184</v>
      </c>
      <c r="O332" s="335"/>
      <c r="P332" s="335"/>
      <c r="Q332" s="335"/>
      <c r="R332" s="335"/>
      <c r="S332" s="335"/>
      <c r="T332" s="335"/>
      <c r="U332" s="335"/>
      <c r="V332" s="333"/>
      <c r="W332" s="185"/>
      <c r="X332" s="141"/>
      <c r="Z332" s="187"/>
      <c r="AA332" s="187"/>
    </row>
    <row r="333" spans="1:27" s="186" customFormat="1" ht="15" customHeight="1">
      <c r="A333" s="215"/>
      <c r="B333" s="194"/>
      <c r="C333" s="133">
        <f>SUMIF(Densidades!A:A,'Memória TOTAL'!X333,Densidades!B:B)</f>
        <v>0</v>
      </c>
      <c r="D333" s="134">
        <f>SUMIF(Densidades!A:A,'Memória TOTAL'!X333,Densidades!C:C)</f>
        <v>620</v>
      </c>
      <c r="E333" s="135">
        <f>SUMIF(Formatos!A:A,'Memória TOTAL'!X334,Formatos!E:E)</f>
        <v>0</v>
      </c>
      <c r="F333" s="135">
        <f>SUMIF(Formatos!A:A,'Memória TOTAL'!X334,Formatos!F:F)</f>
        <v>0</v>
      </c>
      <c r="G333" s="135">
        <f>SUMIF(Formatos!A:A,'Memória TOTAL'!X334,Formatos!C:C)</f>
        <v>0</v>
      </c>
      <c r="H333" s="135">
        <f>SUMIF(Formatos!A:A,'Memória TOTAL'!X334,Formatos!D:D)</f>
        <v>0</v>
      </c>
      <c r="I333" s="135">
        <f>SUMIF(Densidades!A:A,'Memória TOTAL'!X333,Densidades!H:H)</f>
        <v>0</v>
      </c>
      <c r="J333" s="136">
        <f>SUMIF(Formatos!A:A,'Memória TOTAL'!X334,Formatos!G:G)</f>
        <v>0</v>
      </c>
      <c r="K333" s="222">
        <f>SUMIF(Densidades!A:A,'Memória TOTAL'!X333,Densidades!I:I)</f>
        <v>177</v>
      </c>
      <c r="L333" s="223">
        <v>0</v>
      </c>
      <c r="M333" s="235"/>
      <c r="N333" s="334" t="s">
        <v>2185</v>
      </c>
      <c r="O333" s="335"/>
      <c r="P333" s="335"/>
      <c r="Q333" s="335"/>
      <c r="R333" s="335"/>
      <c r="S333" s="335"/>
      <c r="T333" s="336"/>
      <c r="U333" s="335"/>
      <c r="V333" s="269">
        <f>IF(H347="","-",SUM(H347))</f>
        <v>0</v>
      </c>
      <c r="W333" s="193">
        <f>IF(V333="-","",ROUNDUP(SUM(V333)*(1+L333),0))</f>
        <v>0</v>
      </c>
      <c r="X333" s="141" t="str">
        <f>X329</f>
        <v/>
      </c>
      <c r="Z333" s="187"/>
      <c r="AA333" s="187"/>
    </row>
    <row r="334" spans="1:27" s="186" customFormat="1" ht="15" customHeight="1">
      <c r="A334" s="215"/>
      <c r="B334" s="194"/>
      <c r="C334" s="200"/>
      <c r="D334" s="195"/>
      <c r="E334" s="195"/>
      <c r="F334" s="195"/>
      <c r="G334" s="195"/>
      <c r="H334" s="195"/>
      <c r="I334" s="195"/>
      <c r="J334" s="196"/>
      <c r="K334" s="196"/>
      <c r="L334" s="144"/>
      <c r="M334" s="195"/>
      <c r="N334" s="334" t="s">
        <v>2186</v>
      </c>
      <c r="O334" s="195"/>
      <c r="P334" s="195"/>
      <c r="Q334" s="195"/>
      <c r="R334" s="195"/>
      <c r="S334" s="195"/>
      <c r="T334" s="195"/>
      <c r="U334" s="195"/>
      <c r="V334" s="197"/>
      <c r="W334" s="185"/>
      <c r="X334" s="141" t="str">
        <f>IF(X333="","",G347)</f>
        <v/>
      </c>
      <c r="Z334" s="187"/>
      <c r="AA334" s="187"/>
    </row>
    <row r="335" spans="1:27" s="186" customFormat="1" ht="15" customHeight="1">
      <c r="A335" s="215"/>
      <c r="B335" s="194"/>
      <c r="C335" s="200"/>
      <c r="D335" s="195"/>
      <c r="E335" s="195"/>
      <c r="F335" s="195"/>
      <c r="G335" s="195"/>
      <c r="H335" s="195"/>
      <c r="I335" s="195"/>
      <c r="J335" s="196"/>
      <c r="K335" s="196"/>
      <c r="L335" s="144"/>
      <c r="M335" s="195"/>
      <c r="N335" s="195"/>
      <c r="O335" s="195"/>
      <c r="P335" s="195"/>
      <c r="Q335" s="195"/>
      <c r="R335" s="195"/>
      <c r="S335" s="195"/>
      <c r="T335" s="195"/>
      <c r="U335" s="195"/>
      <c r="V335" s="197"/>
      <c r="W335" s="185"/>
      <c r="X335" s="141" t="s">
        <v>524</v>
      </c>
      <c r="Z335" s="187"/>
      <c r="AA335" s="187"/>
    </row>
    <row r="336" spans="1:27" s="186" customFormat="1" ht="15" customHeight="1" thickBot="1">
      <c r="A336" s="215"/>
      <c r="B336" s="194"/>
      <c r="C336" s="200"/>
      <c r="D336" s="195"/>
      <c r="E336" s="195"/>
      <c r="F336" s="195"/>
      <c r="G336" s="241"/>
      <c r="H336" s="241"/>
      <c r="I336" s="195"/>
      <c r="J336" s="196"/>
      <c r="K336" s="196"/>
      <c r="L336" s="144"/>
      <c r="M336" s="195"/>
      <c r="N336" s="195"/>
      <c r="O336" s="195"/>
      <c r="P336" s="195"/>
      <c r="Q336" s="195"/>
      <c r="R336" s="195"/>
      <c r="S336" s="195"/>
      <c r="T336" s="195"/>
      <c r="U336" s="195"/>
      <c r="V336" s="197"/>
      <c r="W336" s="185"/>
      <c r="X336" s="141"/>
      <c r="Z336" s="187"/>
      <c r="AA336" s="187"/>
    </row>
    <row r="337" spans="1:27" s="186" customFormat="1" ht="15" customHeight="1" thickBot="1">
      <c r="A337" s="215"/>
      <c r="B337" s="194"/>
      <c r="C337" s="200"/>
      <c r="D337" s="195"/>
      <c r="E337" s="195"/>
      <c r="F337" s="235"/>
      <c r="G337" s="784" t="s">
        <v>1023</v>
      </c>
      <c r="H337" s="784"/>
      <c r="I337" s="236"/>
      <c r="J337" s="196"/>
      <c r="K337" s="196"/>
      <c r="L337" s="196"/>
      <c r="M337" s="785" t="s">
        <v>1015</v>
      </c>
      <c r="N337" s="786"/>
      <c r="O337" s="786"/>
      <c r="P337" s="786"/>
      <c r="Q337" s="787"/>
      <c r="R337" s="785" t="s">
        <v>1016</v>
      </c>
      <c r="S337" s="786"/>
      <c r="T337" s="786"/>
      <c r="U337" s="786"/>
      <c r="V337" s="787"/>
      <c r="W337" s="185"/>
      <c r="X337" s="141"/>
      <c r="Z337" s="187"/>
      <c r="AA337" s="187"/>
    </row>
    <row r="338" spans="1:27" s="186" customFormat="1" ht="15" customHeight="1" thickBot="1">
      <c r="A338" s="215"/>
      <c r="B338" s="194"/>
      <c r="C338" s="297" t="s">
        <v>989</v>
      </c>
      <c r="D338" s="195"/>
      <c r="E338" s="195"/>
      <c r="F338" s="235"/>
      <c r="G338" s="326" t="str">
        <f>M339</f>
        <v>S9X41/2X3</v>
      </c>
      <c r="H338" s="326">
        <f>IF(I338=1,SUMIF(M351:M400,G338,T351:T400)+SUMIF(O351:O400,G338,U351:U400)+SUMIF(Q351:Q400,G338,V351:V400),0)</f>
        <v>0</v>
      </c>
      <c r="I338" s="236">
        <f>COUNTIF(G338,G338)</f>
        <v>1</v>
      </c>
      <c r="J338" s="196"/>
      <c r="K338" s="196"/>
      <c r="L338" s="328" t="s">
        <v>1078</v>
      </c>
      <c r="M338" s="317" t="s">
        <v>104</v>
      </c>
      <c r="N338" s="318" t="s">
        <v>1075</v>
      </c>
      <c r="O338" s="318" t="s">
        <v>65</v>
      </c>
      <c r="P338" s="318" t="s">
        <v>7</v>
      </c>
      <c r="Q338" s="318" t="s">
        <v>15</v>
      </c>
      <c r="R338" s="317" t="s">
        <v>104</v>
      </c>
      <c r="S338" s="318" t="s">
        <v>1075</v>
      </c>
      <c r="T338" s="318" t="s">
        <v>65</v>
      </c>
      <c r="U338" s="318" t="s">
        <v>539</v>
      </c>
      <c r="V338" s="319" t="s">
        <v>540</v>
      </c>
      <c r="W338" s="185"/>
      <c r="X338" s="141"/>
      <c r="Z338" s="187"/>
      <c r="AA338" s="187"/>
    </row>
    <row r="339" spans="1:27" s="186" customFormat="1" ht="15" customHeight="1" thickBot="1">
      <c r="A339" s="215"/>
      <c r="B339" s="194"/>
      <c r="C339" s="256"/>
      <c r="D339" s="195"/>
      <c r="E339" s="195"/>
      <c r="F339" s="235"/>
      <c r="G339" s="326" t="str">
        <f>M340</f>
        <v>A9X41/2X3-23/4</v>
      </c>
      <c r="H339" s="326">
        <f>IF(I339=1,SUMIF(M351:M400,G339,T351:T400)+SUMIF(O351:O400,G339,U351:U400)+SUMIF(Q351:Q400,G339,V351:V400),0)</f>
        <v>0</v>
      </c>
      <c r="I339" s="236">
        <f>COUNTIF(G338:G339,G339)</f>
        <v>1</v>
      </c>
      <c r="J339" s="196"/>
      <c r="K339" s="196"/>
      <c r="L339" s="329" t="e">
        <f>IF(M339="","",((O339*Q339)/(P339-Q339)+O339)*2)</f>
        <v>#DIV/0!</v>
      </c>
      <c r="M339" s="263" t="s">
        <v>1317</v>
      </c>
      <c r="N339" s="320">
        <f>IF(M339="","",IF(VLOOKUP(M339,Formatos!A:F,2,FALSE)="S",IF(VLOOKUP(M340,Formatos!A:F,2,FALSE)="W",VLOOKUP(M340,Formatos!A:F,4,FALSE),VLOOKUP(M340,Formatos!A:F,3,FALSE)),IF(VLOOKUP(M339,Formatos!A:F,2,FALSE)="W",VLOOKUP(M339,Formatos!A:F,4,FALSE),VLOOKUP(M339,Formatos!A:F,3,FALSE))))</f>
        <v>228.6</v>
      </c>
      <c r="O339" s="320">
        <f>IF(M339="","",IF(VLOOKUP(M339,Formatos!A:F,2,FALSE)="S",IF(VLOOKUP(M340,Formatos!A:F,2,FALSE)="W",VLOOKUP(M340,Formatos!A:F,3,FALSE),VLOOKUP(M340,Formatos!A:F,4,FALSE)),IF(VLOOKUP(M339,Formatos!A:F,2,FALSE)="W",VLOOKUP(M339,Formatos!A:F,3,FALSE),VLOOKUP(M339,Formatos!A:F,4,FALSE))))</f>
        <v>114.3</v>
      </c>
      <c r="P339" s="320">
        <f>IF(M339="","",IF(VLOOKUP(M339,Formatos!A:F,5,FALSE)=O339,VLOOKUP(M339,Formatos!A:F,4,FALSE),VLOOKUP(M339,Formatos!A:F,5,FALSE)))</f>
        <v>76.2</v>
      </c>
      <c r="Q339" s="320">
        <f>IF(M339="","",IF(VLOOKUP(M339,Formatos!A:F,6,FALSE)=O339,VLOOKUP(M339,Formatos!A:F,4,FALSE),VLOOKUP(M339,Formatos!A:F,6,FALSE)))</f>
        <v>76.2</v>
      </c>
      <c r="R339" s="263" t="s">
        <v>1525</v>
      </c>
      <c r="S339" s="320">
        <f>IF(R339="","",IF(VLOOKUP(R339,Formatos!A:F,3,FALSE)=N339,VLOOKUP(R339,Formatos!A:F,3,FALSE),VLOOKUP(R339,Formatos!A:F,4,FALSE)))</f>
        <v>228.6</v>
      </c>
      <c r="T339" s="320">
        <f>IF(R339="","",IF(VLOOKUP(R339,Formatos!A:F,4,FALSE)=O339,VLOOKUP(R339,Formatos!A:F,4,FALSE),VLOOKUP(R339,Formatos!A:F,3,FALSE)))</f>
        <v>114.3</v>
      </c>
      <c r="U339" s="320">
        <f>IF(R339="","",VLOOKUP(R339,Formatos!A:F,5,FALSE))</f>
        <v>76.2</v>
      </c>
      <c r="V339" s="320">
        <f>IF(R339="","",VLOOKUP(R339,Formatos!A:F,6,FALSE))</f>
        <v>50.8</v>
      </c>
      <c r="W339" s="185"/>
      <c r="X339" s="141"/>
      <c r="Z339" s="187"/>
      <c r="AA339" s="187"/>
    </row>
    <row r="340" spans="1:27" s="186" customFormat="1" ht="15" customHeight="1" thickBot="1">
      <c r="A340" s="215"/>
      <c r="B340" s="194"/>
      <c r="C340" s="200"/>
      <c r="D340" s="195"/>
      <c r="E340" s="195"/>
      <c r="F340" s="235"/>
      <c r="G340" s="326">
        <f>M341</f>
        <v>0</v>
      </c>
      <c r="H340" s="326" t="e">
        <f>IF(I340=1,SUMIF(M351:M400,G340,T351:T400)+SUMIF(O351:O400,G340,U351:U400)+SUMIF(Q351:Q400,G340,V351:V400),0)</f>
        <v>#N/A</v>
      </c>
      <c r="I340" s="236">
        <f>COUNTIF(G338:G340,G340)</f>
        <v>1</v>
      </c>
      <c r="J340" s="196"/>
      <c r="K340" s="196"/>
      <c r="L340" s="329">
        <f>IF(M340="","",((O340*Q340)/(P340-Q340)+O340)*2)</f>
        <v>2764.9714285714299</v>
      </c>
      <c r="M340" s="263" t="s">
        <v>1126</v>
      </c>
      <c r="N340" s="320">
        <f>IF(M340="","",IF(VLOOKUP(M340,Formatos!A:F,2,FALSE)="S",IF(VLOOKUP(M341,Formatos!A:F,2,FALSE)="W",VLOOKUP(M341,Formatos!A:F,4,FALSE),VLOOKUP(M341,Formatos!A:F,3,FALSE)),IF(VLOOKUP(M340,Formatos!A:F,2,FALSE)="W",VLOOKUP(M340,Formatos!A:F,4,FALSE),VLOOKUP(M340,Formatos!A:F,3,FALSE))))</f>
        <v>228.6</v>
      </c>
      <c r="O340" s="320">
        <f>IF(M340="","",IF(VLOOKUP(M340,Formatos!A:F,2,FALSE)="S",IF(VLOOKUP(M341,Formatos!A:F,2,FALSE)="W",VLOOKUP(M341,Formatos!A:F,3,FALSE),VLOOKUP(M341,Formatos!A:F,4,FALSE)),IF(VLOOKUP(M340,Formatos!A:F,2,FALSE)="W",VLOOKUP(M340,Formatos!A:F,3,FALSE),VLOOKUP(M340,Formatos!A:F,4,FALSE))))</f>
        <v>114.3</v>
      </c>
      <c r="P340" s="320">
        <f>IF(M340="","",IF(VLOOKUP(M340,Formatos!A:F,5,FALSE)=O340,VLOOKUP(M340,Formatos!A:F,4,FALSE),VLOOKUP(M340,Formatos!A:F,5,FALSE)))</f>
        <v>76.2</v>
      </c>
      <c r="Q340" s="320">
        <f>IF(M340="","",IF(VLOOKUP(M340,Formatos!A:F,6,FALSE)=O340,VLOOKUP(M340,Formatos!A:F,4,FALSE),VLOOKUP(M340,Formatos!A:F,6,FALSE)))</f>
        <v>69.900000000000006</v>
      </c>
      <c r="R340" s="263"/>
      <c r="S340" s="320" t="str">
        <f>IF(R340="","",IF(VLOOKUP(R340,Formatos!A:F,3,FALSE)=N339,VLOOKUP(R340,Formatos!A:F,3,FALSE),VLOOKUP(R340,Formatos!A:F,4,FALSE)))</f>
        <v/>
      </c>
      <c r="T340" s="320" t="str">
        <f>IF(R340="","",IF(VLOOKUP(R340,Formatos!A:F,4,FALSE)=O339,VLOOKUP(R340,Formatos!A:F,4,FALSE),VLOOKUP(R340,Formatos!A:F,3,FALSE)))</f>
        <v/>
      </c>
      <c r="U340" s="320" t="str">
        <f>IF(R340="","",VLOOKUP(R340,Formatos!A:F,5,FALSE))</f>
        <v/>
      </c>
      <c r="V340" s="320" t="str">
        <f>IF(R340="","",VLOOKUP(R340,Formatos!A:F,6,FALSE))</f>
        <v/>
      </c>
      <c r="W340" s="185"/>
      <c r="X340" s="141"/>
      <c r="Z340" s="187"/>
      <c r="AA340" s="187"/>
    </row>
    <row r="341" spans="1:27" s="186" customFormat="1" ht="15" customHeight="1" thickBot="1">
      <c r="A341" s="215"/>
      <c r="B341" s="194"/>
      <c r="C341" s="297" t="s">
        <v>46</v>
      </c>
      <c r="D341" s="195"/>
      <c r="E341" s="195"/>
      <c r="F341" s="235"/>
      <c r="G341" s="326">
        <f>M342</f>
        <v>0</v>
      </c>
      <c r="H341" s="326">
        <f>IF(I341=1,SUMIF(M351:M400,G341,T351:T400)+SUMIF(O351:O400,G341,U351:U400)+SUMIF(Q351:Q400,G341,V351:V400),0)</f>
        <v>0</v>
      </c>
      <c r="I341" s="236">
        <f>COUNTIF(G338:G341,G341)</f>
        <v>2</v>
      </c>
      <c r="J341" s="196"/>
      <c r="K341" s="196"/>
      <c r="L341" s="329" t="str">
        <f>IF(M341="","",((O341*Q341)/(P341-Q341)+O341)*2)</f>
        <v/>
      </c>
      <c r="M341" s="263"/>
      <c r="N341" s="320" t="str">
        <f>IF(M341="","",IF(VLOOKUP(M341,Formatos!A:F,2,FALSE)="S",IF(VLOOKUP(M342,Formatos!A:F,2,FALSE)="W",VLOOKUP(M342,Formatos!A:F,4,FALSE),VLOOKUP(M342,Formatos!A:F,3,FALSE)),IF(VLOOKUP(M341,Formatos!A:F,2,FALSE)="W",VLOOKUP(M341,Formatos!A:F,4,FALSE),VLOOKUP(M341,Formatos!A:F,3,FALSE))))</f>
        <v/>
      </c>
      <c r="O341" s="320" t="str">
        <f>IF(M341="","",IF(VLOOKUP(M341,Formatos!A:F,2,FALSE)="S",IF(VLOOKUP(M342,Formatos!A:F,2,FALSE)="W",VLOOKUP(M342,Formatos!A:F,3,FALSE),VLOOKUP(M342,Formatos!A:F,4,FALSE)),IF(VLOOKUP(M341,Formatos!A:F,2,FALSE)="W",VLOOKUP(M341,Formatos!A:F,3,FALSE),VLOOKUP(M341,Formatos!A:F,4,FALSE))))</f>
        <v/>
      </c>
      <c r="P341" s="320" t="str">
        <f>IF(M341="","",IF(VLOOKUP(M341,Formatos!A:F,5,FALSE)=O341,VLOOKUP(M341,Formatos!A:F,4,FALSE),VLOOKUP(M341,Formatos!A:F,5,FALSE)))</f>
        <v/>
      </c>
      <c r="Q341" s="320" t="str">
        <f>IF(M341="","",IF(VLOOKUP(M341,Formatos!A:F,6,FALSE)=O341,VLOOKUP(M341,Formatos!A:F,4,FALSE),VLOOKUP(M341,Formatos!A:F,6,FALSE)))</f>
        <v/>
      </c>
      <c r="R341" s="263"/>
      <c r="S341" s="320" t="str">
        <f>IF(R341="","",IF(VLOOKUP(R341,Formatos!A:F,3,FALSE)=N339,VLOOKUP(R341,Formatos!A:F,3,FALSE),VLOOKUP(R341,Formatos!A:F,4,FALSE)))</f>
        <v/>
      </c>
      <c r="T341" s="320" t="str">
        <f>IF(R341="","",IF(VLOOKUP(R341,Formatos!A:F,4,FALSE)=O339,VLOOKUP(R341,Formatos!A:F,4,FALSE),VLOOKUP(R341,Formatos!A:F,3,FALSE)))</f>
        <v/>
      </c>
      <c r="U341" s="320" t="str">
        <f>IF(R341="","",VLOOKUP(R341,Formatos!A:F,5,FALSE))</f>
        <v/>
      </c>
      <c r="V341" s="320" t="str">
        <f>IF(R341="","",VLOOKUP(R341,Formatos!A:F,6,FALSE))</f>
        <v/>
      </c>
      <c r="W341" s="185"/>
      <c r="X341" s="141"/>
      <c r="Z341" s="187"/>
      <c r="AA341" s="187"/>
    </row>
    <row r="342" spans="1:27" s="186" customFormat="1" ht="15" customHeight="1" thickBot="1">
      <c r="A342" s="215"/>
      <c r="B342" s="194"/>
      <c r="C342" s="608"/>
      <c r="D342" s="195"/>
      <c r="E342" s="195"/>
      <c r="F342" s="235"/>
      <c r="G342" s="326">
        <f>M343</f>
        <v>0</v>
      </c>
      <c r="H342" s="326">
        <f>IF(I342=1,SUMIF(M351:M400,G342,T351:T400)+SUMIF(O351:O400,G342,U351:U400)+SUMIF(Q351:Q400,G342,V351:V400),0)</f>
        <v>0</v>
      </c>
      <c r="I342" s="236">
        <f>COUNTIF(G338:G342,G342)</f>
        <v>3</v>
      </c>
      <c r="J342" s="196"/>
      <c r="K342" s="196"/>
      <c r="L342" s="196" t="str">
        <f>IF(M342="","",((O342*Q342)/(P342-Q342)+O342)*2)</f>
        <v/>
      </c>
      <c r="M342" s="263"/>
      <c r="N342" s="320" t="str">
        <f>IF(M342="","",IF(VLOOKUP(M342,Formatos!A:F,2,FALSE)="S",IF(VLOOKUP(M343,Formatos!A:F,2,FALSE)="W",VLOOKUP(M343,Formatos!A:F,4,FALSE),VLOOKUP(M343,Formatos!A:F,3,FALSE)),IF(VLOOKUP(M342,Formatos!A:F,2,FALSE)="W",VLOOKUP(M342,Formatos!A:F,4,FALSE),VLOOKUP(M342,Formatos!A:F,3,FALSE))))</f>
        <v/>
      </c>
      <c r="O342" s="320" t="str">
        <f>IF(M342="","",IF(VLOOKUP(M342,Formatos!A:F,2,FALSE)="S",IF(VLOOKUP(M343,Formatos!A:F,2,FALSE)="W",VLOOKUP(M343,Formatos!A:F,3,FALSE),VLOOKUP(M343,Formatos!A:F,4,FALSE)),IF(VLOOKUP(M342,Formatos!A:F,2,FALSE)="W",VLOOKUP(M342,Formatos!A:F,3,FALSE),VLOOKUP(M342,Formatos!A:F,4,FALSE))))</f>
        <v/>
      </c>
      <c r="P342" s="320" t="str">
        <f>IF(M342="","",IF(VLOOKUP(M342,Formatos!A:F,5,FALSE)=O342,VLOOKUP(M342,Formatos!A:F,4,FALSE),VLOOKUP(M342,Formatos!A:F,5,FALSE)))</f>
        <v/>
      </c>
      <c r="Q342" s="320" t="str">
        <f>IF(M342="","",IF(VLOOKUP(M342,Formatos!A:F,6,FALSE)=O342,VLOOKUP(M342,Formatos!A:F,4,FALSE),VLOOKUP(M342,Formatos!A:F,6,FALSE)))</f>
        <v/>
      </c>
      <c r="R342" s="263"/>
      <c r="S342" s="320" t="str">
        <f>IF(R342="","",IF(VLOOKUP(R342,Formatos!A:F,3,FALSE)=N339,VLOOKUP(R342,Formatos!A:F,3,FALSE),VLOOKUP(R342,Formatos!A:F,4,FALSE)))</f>
        <v/>
      </c>
      <c r="T342" s="320" t="str">
        <f>IF(R342="","",IF(VLOOKUP(R342,Formatos!A:F,4,FALSE)=O339,VLOOKUP(R342,Formatos!A:F,4,FALSE),VLOOKUP(R342,Formatos!A:F,3,FALSE)))</f>
        <v/>
      </c>
      <c r="U342" s="320" t="str">
        <f>IF(R342="","",VLOOKUP(R342,Formatos!A:F,5,FALSE))</f>
        <v/>
      </c>
      <c r="V342" s="320" t="str">
        <f>IF(R342="","",VLOOKUP(R342,Formatos!A:F,6,FALSE))</f>
        <v/>
      </c>
      <c r="W342" s="185"/>
      <c r="X342" s="141"/>
      <c r="Z342" s="187"/>
      <c r="AA342" s="187"/>
    </row>
    <row r="343" spans="1:27" s="186" customFormat="1" ht="15" customHeight="1" thickBot="1">
      <c r="A343" s="215"/>
      <c r="B343" s="194"/>
      <c r="C343" s="200"/>
      <c r="D343" s="195"/>
      <c r="E343" s="195"/>
      <c r="F343" s="235"/>
      <c r="G343" s="326" t="str">
        <f>R339</f>
        <v>W9X41/2X3-2</v>
      </c>
      <c r="H343" s="326">
        <f>IF(I343=1,SUMIF(M351:M400,G343,T351:T400)+SUMIF(O351:O400,G343,U351:U400)+SUMIF(Q351:Q400,G343,V351:V400),0)</f>
        <v>0</v>
      </c>
      <c r="I343" s="236">
        <f>COUNTIF(G338:G343,G343)</f>
        <v>1</v>
      </c>
      <c r="J343" s="196"/>
      <c r="K343" s="196"/>
      <c r="L343" s="196" t="str">
        <f>IF(M343="","",((O343*Q343)/(P343-Q343)+O343)*2)</f>
        <v/>
      </c>
      <c r="M343" s="263"/>
      <c r="N343" s="320" t="str">
        <f>IF(M343="","",IF(VLOOKUP(M343,Formatos!A:F,2,FALSE)="S",IF(VLOOKUP(M344,Formatos!A:F,2,FALSE)="W",VLOOKUP(M344,Formatos!A:F,4,FALSE),VLOOKUP(M344,Formatos!A:F,3,FALSE)),IF(VLOOKUP(M343,Formatos!A:F,2,FALSE)="W",VLOOKUP(M343,Formatos!A:F,4,FALSE),VLOOKUP(M343,Formatos!A:F,3,FALSE))))</f>
        <v/>
      </c>
      <c r="O343" s="320" t="str">
        <f>IF(M343="","",IF(VLOOKUP(M343,Formatos!A:F,2,FALSE)="S",IF(VLOOKUP(M344,Formatos!A:F,2,FALSE)="W",VLOOKUP(M344,Formatos!A:F,3,FALSE),VLOOKUP(M344,Formatos!A:F,4,FALSE)),IF(VLOOKUP(M343,Formatos!A:F,2,FALSE)="W",VLOOKUP(M343,Formatos!A:F,3,FALSE),VLOOKUP(M343,Formatos!A:F,4,FALSE))))</f>
        <v/>
      </c>
      <c r="P343" s="320" t="str">
        <f>IF(M343="","",IF(VLOOKUP(M343,Formatos!A:F,5,FALSE)=O343,VLOOKUP(M343,Formatos!A:F,4,FALSE),VLOOKUP(M343,Formatos!A:F,5,FALSE)))</f>
        <v/>
      </c>
      <c r="Q343" s="320" t="str">
        <f>IF(M343="","",IF(VLOOKUP(M343,Formatos!A:F,6,FALSE)=O343,VLOOKUP(M343,Formatos!A:F,4,FALSE),VLOOKUP(M343,Formatos!A:F,6,FALSE)))</f>
        <v/>
      </c>
      <c r="R343" s="263"/>
      <c r="S343" s="320" t="str">
        <f>IF(R343="","",IF(VLOOKUP(R343,Formatos!A:F,3,FALSE)=N339,VLOOKUP(R343,Formatos!A:F,3,FALSE),VLOOKUP(R343,Formatos!A:F,4,FALSE)))</f>
        <v/>
      </c>
      <c r="T343" s="320" t="str">
        <f>IF(R343="","",IF(VLOOKUP(R343,Formatos!A:F,4,FALSE)=O339,VLOOKUP(R343,Formatos!A:F,4,FALSE),VLOOKUP(R343,Formatos!A:F,3,FALSE)))</f>
        <v/>
      </c>
      <c r="U343" s="320" t="str">
        <f>IF(R343="","",VLOOKUP(R343,Formatos!A:F,5,FALSE))</f>
        <v/>
      </c>
      <c r="V343" s="320" t="str">
        <f>IF(R343="","",VLOOKUP(R343,Formatos!A:F,6,FALSE))</f>
        <v/>
      </c>
      <c r="W343" s="185"/>
      <c r="X343" s="141"/>
      <c r="Z343" s="187"/>
      <c r="AA343" s="187"/>
    </row>
    <row r="344" spans="1:27" s="186" customFormat="1" ht="15" customHeight="1" thickBot="1">
      <c r="A344" s="215"/>
      <c r="B344" s="194"/>
      <c r="C344" s="297" t="s">
        <v>53</v>
      </c>
      <c r="D344" s="195"/>
      <c r="E344" s="195"/>
      <c r="F344" s="235"/>
      <c r="G344" s="326">
        <f>R340</f>
        <v>0</v>
      </c>
      <c r="H344" s="326">
        <f>IF(I344=1,SUMIF(M351:M400,G344,T351:T400)+SUMIF(O351:O400,G344,U351:U400)+SUMIF(Q351:Q400,G344,V351:V400),0)</f>
        <v>0</v>
      </c>
      <c r="I344" s="236">
        <f>COUNTIF(G338:G344,G344)</f>
        <v>4</v>
      </c>
      <c r="J344" s="196"/>
      <c r="K344" s="196"/>
      <c r="L344" s="196"/>
      <c r="S344" s="195"/>
      <c r="T344" s="195"/>
      <c r="U344" s="195"/>
      <c r="V344" s="197"/>
      <c r="W344" s="185"/>
      <c r="X344" s="141"/>
      <c r="Z344" s="187"/>
      <c r="AA344" s="187"/>
    </row>
    <row r="345" spans="1:27" s="186" customFormat="1" ht="15" customHeight="1" thickBot="1">
      <c r="A345" s="215"/>
      <c r="B345" s="194"/>
      <c r="C345" s="256"/>
      <c r="D345" s="195"/>
      <c r="E345" s="195"/>
      <c r="F345" s="235"/>
      <c r="G345" s="326">
        <f>R341</f>
        <v>0</v>
      </c>
      <c r="H345" s="326">
        <f>IF(I345=1,SUMIF(M351:M400,G345,T351:T400)+SUMIF(O351:O400,G345,U351:U400)+SUMIF(Q351:Q400,G345,V351:V400),0)</f>
        <v>0</v>
      </c>
      <c r="I345" s="236">
        <f>COUNTIF(G338:G345,G345)</f>
        <v>5</v>
      </c>
      <c r="J345" s="196"/>
      <c r="K345" s="196"/>
      <c r="L345" s="196"/>
      <c r="M345" s="321" t="s">
        <v>1014</v>
      </c>
      <c r="N345" s="321" t="str">
        <f>IF(R339="","CN1",R339)</f>
        <v>W9X41/2X3-2</v>
      </c>
      <c r="O345" s="321" t="str">
        <f>IF(R340="","CN2",R340)</f>
        <v>CN2</v>
      </c>
      <c r="P345" s="321" t="str">
        <f>IF(R341="","CN3",R341)</f>
        <v>CN3</v>
      </c>
      <c r="Q345" s="321" t="str">
        <f>IF(R342="","CN4",R342)</f>
        <v>CN4</v>
      </c>
      <c r="R345" s="321" t="str">
        <f>IF(R343="","CN5",R343)</f>
        <v>CN5</v>
      </c>
      <c r="S345" s="195"/>
      <c r="T345" s="195"/>
      <c r="U345" s="195"/>
      <c r="V345" s="197"/>
      <c r="W345" s="185"/>
      <c r="X345" s="141"/>
      <c r="Z345" s="187"/>
      <c r="AA345" s="187"/>
    </row>
    <row r="346" spans="1:27" s="186" customFormat="1" ht="15" customHeight="1" thickBot="1">
      <c r="A346" s="215"/>
      <c r="B346" s="194"/>
      <c r="C346" s="200"/>
      <c r="D346" s="195"/>
      <c r="E346" s="195"/>
      <c r="F346" s="235"/>
      <c r="G346" s="326">
        <f>R342</f>
        <v>0</v>
      </c>
      <c r="H346" s="326">
        <f>IF(I346=1,SUMIF(M351:M400,G346,T351:T400)+SUMIF(O351:O400,G346,U351:U400)+SUMIF(Q351:Q400,G346,V351:V400),0)</f>
        <v>0</v>
      </c>
      <c r="I346" s="236">
        <f>COUNTIF(G337:G346,G346)</f>
        <v>6</v>
      </c>
      <c r="J346" s="196"/>
      <c r="K346" s="196"/>
      <c r="L346" s="196"/>
      <c r="M346" s="578">
        <f>C345</f>
        <v>0</v>
      </c>
      <c r="N346" s="322">
        <f>IF(R339="","",SIN(RADIANS(M346))*S339*2*PI()/(U339-V339))</f>
        <v>0</v>
      </c>
      <c r="O346" s="322" t="str">
        <f>IF(R340="","",SIN(RADIANS(M346))*S340*2*PI()/(U340-V340))</f>
        <v/>
      </c>
      <c r="P346" s="322" t="str">
        <f>IF(R341="","",SIN(RADIANS(M346))*S341*2*PI()/(U341-V341))</f>
        <v/>
      </c>
      <c r="Q346" s="322" t="str">
        <f>IF(R342="","",SIN(RADIANS(M346))*S342*2*PI()/(U342-V342))</f>
        <v/>
      </c>
      <c r="R346" s="322" t="str">
        <f>IF(R343="","",SIN(RADIANS(M346))*S343*2*PI()/(U343-V343))</f>
        <v/>
      </c>
      <c r="S346" s="195"/>
      <c r="T346" s="195"/>
      <c r="U346" s="195"/>
      <c r="V346" s="197"/>
      <c r="W346" s="185"/>
      <c r="X346" s="141"/>
      <c r="Z346" s="187"/>
      <c r="AA346" s="187"/>
    </row>
    <row r="347" spans="1:27" s="186" customFormat="1" ht="15" customHeight="1">
      <c r="A347" s="215"/>
      <c r="B347" s="194"/>
      <c r="C347" s="200"/>
      <c r="D347" s="195"/>
      <c r="E347" s="195"/>
      <c r="F347" s="235"/>
      <c r="G347" s="326">
        <f>R343</f>
        <v>0</v>
      </c>
      <c r="H347" s="326">
        <f>IF(I347=1,SUMIF(M351:M400,G347,T351:T400)+SUMIF(O351:O400,G347,U351:U400)+SUMIF(Q351:Q400,G347,V351:V400),0)</f>
        <v>0</v>
      </c>
      <c r="I347" s="236">
        <f>COUNTIF(G338:G347,G347)</f>
        <v>7</v>
      </c>
      <c r="J347" s="196"/>
      <c r="K347" s="196"/>
      <c r="L347" s="196"/>
      <c r="M347" s="195"/>
      <c r="N347" s="195"/>
      <c r="O347" s="195"/>
      <c r="P347" s="195"/>
      <c r="Q347" s="195"/>
      <c r="R347" s="195"/>
      <c r="S347" s="195"/>
      <c r="T347" s="195"/>
      <c r="U347" s="195"/>
      <c r="V347" s="197"/>
      <c r="W347" s="231"/>
      <c r="X347" s="141"/>
      <c r="Z347" s="187"/>
      <c r="AA347" s="187"/>
    </row>
    <row r="348" spans="1:27" s="186" customFormat="1" ht="15" customHeight="1">
      <c r="A348" s="215"/>
      <c r="B348" s="194"/>
      <c r="C348" s="200"/>
      <c r="D348" s="195"/>
      <c r="E348" s="195"/>
      <c r="F348" s="195"/>
      <c r="G348" s="195"/>
      <c r="H348" s="195"/>
      <c r="I348" s="195"/>
      <c r="J348" s="196"/>
      <c r="K348" s="196"/>
      <c r="L348" s="196"/>
      <c r="M348" s="195"/>
      <c r="N348" s="195"/>
      <c r="O348" s="195"/>
      <c r="P348" s="195"/>
      <c r="Q348" s="195"/>
      <c r="R348" s="195"/>
      <c r="S348" s="195"/>
      <c r="T348" s="195"/>
      <c r="U348" s="195"/>
      <c r="V348" s="197"/>
      <c r="W348" s="185"/>
      <c r="X348" s="141"/>
      <c r="Z348" s="187"/>
      <c r="AA348" s="187"/>
    </row>
    <row r="349" spans="1:27" s="186" customFormat="1" ht="15" customHeight="1">
      <c r="A349" s="215"/>
      <c r="B349" s="194"/>
      <c r="C349" s="200"/>
      <c r="D349" s="195"/>
      <c r="E349" s="195"/>
      <c r="F349" s="195"/>
      <c r="G349" s="195"/>
      <c r="H349" s="195"/>
      <c r="I349" s="195"/>
      <c r="J349" s="196"/>
      <c r="K349" s="196"/>
      <c r="L349" s="144"/>
      <c r="M349" s="195"/>
      <c r="N349" s="195"/>
      <c r="O349" s="195"/>
      <c r="P349" s="195"/>
      <c r="Q349" s="195"/>
      <c r="R349" s="195"/>
      <c r="S349" s="195"/>
      <c r="T349" s="195"/>
      <c r="U349" s="195"/>
      <c r="V349" s="197"/>
      <c r="W349" s="185"/>
      <c r="X349" s="141"/>
      <c r="Z349" s="187"/>
      <c r="AA349" s="187"/>
    </row>
    <row r="350" spans="1:27" s="186" customFormat="1" ht="15" customHeight="1" thickBot="1">
      <c r="A350" s="215"/>
      <c r="B350" s="194"/>
      <c r="C350" s="297" t="s">
        <v>989</v>
      </c>
      <c r="D350" s="316" t="s">
        <v>1017</v>
      </c>
      <c r="E350" s="315" t="s">
        <v>1018</v>
      </c>
      <c r="F350" s="315" t="s">
        <v>1019</v>
      </c>
      <c r="G350" s="324" t="s">
        <v>1021</v>
      </c>
      <c r="H350" s="324" t="s">
        <v>7</v>
      </c>
      <c r="I350" s="324" t="s">
        <v>15</v>
      </c>
      <c r="J350" s="324" t="s">
        <v>539</v>
      </c>
      <c r="K350" s="324" t="s">
        <v>540</v>
      </c>
      <c r="L350" s="315" t="s">
        <v>1020</v>
      </c>
      <c r="M350" s="172"/>
      <c r="N350" s="195" t="s">
        <v>57</v>
      </c>
      <c r="O350" s="241"/>
      <c r="P350" s="195" t="s">
        <v>54</v>
      </c>
      <c r="Q350" s="241"/>
      <c r="R350" s="195" t="s">
        <v>55</v>
      </c>
      <c r="S350" s="241" t="s">
        <v>1022</v>
      </c>
      <c r="T350" s="195" t="s">
        <v>57</v>
      </c>
      <c r="U350" s="195" t="s">
        <v>54</v>
      </c>
      <c r="V350" s="197" t="s">
        <v>55</v>
      </c>
      <c r="W350" s="185"/>
      <c r="X350" s="141"/>
      <c r="Z350" s="187"/>
      <c r="AA350" s="187"/>
    </row>
    <row r="351" spans="1:27" s="186" customFormat="1" ht="15" customHeight="1">
      <c r="A351" s="215"/>
      <c r="B351" s="168" t="s">
        <v>1024</v>
      </c>
      <c r="C351" s="297">
        <f>C339</f>
        <v>0</v>
      </c>
      <c r="D351" s="323">
        <f>(C351-(SIN(RADIANS(M346))*N339)-(COS(RADIANS(M346))*O339))*PI()/MEDIAN(U339:V343,P339:Q343)</f>
        <v>-4.7123889803846897</v>
      </c>
      <c r="E351" s="323" t="e">
        <f>(C351*PI()-N351*(G351+C342))/PI()</f>
        <v>#N/A</v>
      </c>
      <c r="F351" s="323" t="e">
        <f>E351-2*O339*COS(RADIANS(M346))</f>
        <v>#N/A</v>
      </c>
      <c r="G351" s="325" t="e">
        <f>ROUND(VLOOKUP(M351,R339:V343,4,FALSE),)</f>
        <v>#N/A</v>
      </c>
      <c r="H351" s="325" t="e">
        <f>ROUND(VLOOKUP(O351,M339:Q343,4,FALSE),)</f>
        <v>#N/A</v>
      </c>
      <c r="I351" s="325" t="e">
        <f>ROUND(VLOOKUP(O351,M339:Q343,5,FALSE),)</f>
        <v>#N/A</v>
      </c>
      <c r="J351" s="325" t="e">
        <f>ROUND(VLOOKUP(Q351,M339:Q343,4,FALSE),)</f>
        <v>#N/A</v>
      </c>
      <c r="K351" s="325" t="e">
        <f>ROUND(VLOOKUP(Q351,M339:Q343,5,FALSE),)</f>
        <v>#N/A</v>
      </c>
      <c r="L351" s="620">
        <f t="shared" ref="L351:L382" si="59">D351/3</f>
        <v>-1.5707963267948966</v>
      </c>
      <c r="M351" s="288"/>
      <c r="N351" s="621" t="e">
        <f>ROUND(HLOOKUP(M351,N345:R346,2,FALSE),)</f>
        <v>#N/A</v>
      </c>
      <c r="O351" s="288"/>
      <c r="P351" s="622" t="e">
        <f>PI()*(F351*(J351+C342)-E351*(K351+C342))/(((J351+C342)*(I351+C342))-((H351+C342)*(K351+C342)))</f>
        <v>#N/A</v>
      </c>
      <c r="Q351" s="288"/>
      <c r="R351" s="622" t="e">
        <f>(E351*PI()-P351*(H351+C342))/(J351+C342)</f>
        <v>#N/A</v>
      </c>
      <c r="S351" s="624">
        <v>360</v>
      </c>
      <c r="T351" s="236" t="e">
        <f t="shared" ref="T351:T382" si="60">ROUND(N351/360*S351,)</f>
        <v>#N/A</v>
      </c>
      <c r="U351" s="195" t="e">
        <f t="shared" ref="U351:U382" si="61">ROUND(P351/360*S351,)</f>
        <v>#N/A</v>
      </c>
      <c r="V351" s="195" t="e">
        <f t="shared" ref="V351:V382" si="62">ROUND(R351/360*S351,)</f>
        <v>#N/A</v>
      </c>
      <c r="W351" s="185"/>
      <c r="X351" s="141"/>
      <c r="Z351" s="187"/>
      <c r="AA351" s="187"/>
    </row>
    <row r="352" spans="1:27" s="186" customFormat="1" ht="15" customHeight="1">
      <c r="A352" s="215"/>
      <c r="B352" s="168" t="s">
        <v>1025</v>
      </c>
      <c r="C352" s="298">
        <f>C351+2*SIN(RADIANS(M346))*(N339+C342)</f>
        <v>0</v>
      </c>
      <c r="D352" s="323">
        <f>(C352-(SIN(RADIANS(M346))*N339)-(COS(RADIANS(M346))*O339))*PI()/MEDIAN(U339:V343,P339:Q343)</f>
        <v>-4.7123889803846897</v>
      </c>
      <c r="E352" s="323" t="e">
        <f>(C352*PI()-N352*(G352+C342))/PI()</f>
        <v>#N/A</v>
      </c>
      <c r="F352" s="323" t="e">
        <f>E352-2*O339*COS(RADIANS(M346))</f>
        <v>#N/A</v>
      </c>
      <c r="G352" s="325" t="e">
        <f>ROUND(VLOOKUP(M352,R339:V343,4,FALSE),)</f>
        <v>#N/A</v>
      </c>
      <c r="H352" s="325" t="e">
        <f>ROUND(VLOOKUP(O352,M339:Q343,4,FALSE),)</f>
        <v>#N/A</v>
      </c>
      <c r="I352" s="325" t="e">
        <f>ROUND(VLOOKUP(O352,M339:Q343,5,FALSE),)</f>
        <v>#N/A</v>
      </c>
      <c r="J352" s="325" t="e">
        <f>ROUND(VLOOKUP(Q352,M339:Q343,4,FALSE),)</f>
        <v>#N/A</v>
      </c>
      <c r="K352" s="325" t="e">
        <f>ROUND(VLOOKUP(Q352,M339:Q343,5,FALSE),)</f>
        <v>#N/A</v>
      </c>
      <c r="L352" s="620">
        <f t="shared" si="59"/>
        <v>-1.5707963267948966</v>
      </c>
      <c r="M352" s="623">
        <f t="shared" ref="M352:M383" si="63">M351</f>
        <v>0</v>
      </c>
      <c r="N352" s="621" t="e">
        <f>ROUND(HLOOKUP(M352,N345:R346,2,FALSE),)</f>
        <v>#N/A</v>
      </c>
      <c r="O352" s="623">
        <f t="shared" ref="O352:O383" si="64">O351</f>
        <v>0</v>
      </c>
      <c r="P352" s="622" t="e">
        <f>PI()*(F352*(J352+C342)-E352*(K352+C342))/(((J352+C342)*(I352+C342))-((H352+C342)*(K352+C342)))</f>
        <v>#N/A</v>
      </c>
      <c r="Q352" s="623">
        <f t="shared" ref="Q352:Q383" si="65">Q351</f>
        <v>0</v>
      </c>
      <c r="R352" s="622" t="e">
        <f>(E352*PI()-P352*(H352+C342))/(J352+C342)</f>
        <v>#N/A</v>
      </c>
      <c r="S352" s="625">
        <f>S351</f>
        <v>360</v>
      </c>
      <c r="T352" s="236" t="e">
        <f t="shared" si="60"/>
        <v>#N/A</v>
      </c>
      <c r="U352" s="195" t="e">
        <f t="shared" si="61"/>
        <v>#N/A</v>
      </c>
      <c r="V352" s="195" t="e">
        <f t="shared" si="62"/>
        <v>#N/A</v>
      </c>
      <c r="W352" s="185"/>
      <c r="X352" s="141"/>
      <c r="Z352" s="187"/>
      <c r="AA352" s="187"/>
    </row>
    <row r="353" spans="1:27" s="186" customFormat="1" ht="15" customHeight="1">
      <c r="A353" s="215"/>
      <c r="B353" s="168" t="s">
        <v>1026</v>
      </c>
      <c r="C353" s="298">
        <f>C352+2*SIN(RADIANS(M346))*(N339+C342)</f>
        <v>0</v>
      </c>
      <c r="D353" s="323">
        <f>(C353-(SIN(RADIANS(M346))*N339)-(COS(RADIANS(M346))*O339))*PI()/MEDIAN(U339:V343,P339:Q343)</f>
        <v>-4.7123889803846897</v>
      </c>
      <c r="E353" s="323" t="e">
        <f>(C353*PI()-N353*(G353+C342))/PI()</f>
        <v>#N/A</v>
      </c>
      <c r="F353" s="323" t="e">
        <f>E353-2*O339*COS(RADIANS(M346))</f>
        <v>#N/A</v>
      </c>
      <c r="G353" s="325" t="e">
        <f>ROUND(VLOOKUP(M353,R339:V343,4,FALSE),)</f>
        <v>#N/A</v>
      </c>
      <c r="H353" s="325" t="e">
        <f>ROUND(VLOOKUP(O353,M339:Q343,4,FALSE),)</f>
        <v>#N/A</v>
      </c>
      <c r="I353" s="325" t="e">
        <f>ROUND(VLOOKUP(O353,M339:Q343,5,FALSE),)</f>
        <v>#N/A</v>
      </c>
      <c r="J353" s="325" t="e">
        <f>ROUND(VLOOKUP(Q353,M339:Q343,4,FALSE),)</f>
        <v>#N/A</v>
      </c>
      <c r="K353" s="325" t="e">
        <f>ROUND(VLOOKUP(Q353,M339:Q343,5,FALSE),)</f>
        <v>#N/A</v>
      </c>
      <c r="L353" s="620">
        <f t="shared" si="59"/>
        <v>-1.5707963267948966</v>
      </c>
      <c r="M353" s="623">
        <f t="shared" si="63"/>
        <v>0</v>
      </c>
      <c r="N353" s="621" t="e">
        <f>ROUND(HLOOKUP(M353,N345:R346,2,FALSE),)</f>
        <v>#N/A</v>
      </c>
      <c r="O353" s="623">
        <f t="shared" si="64"/>
        <v>0</v>
      </c>
      <c r="P353" s="622" t="e">
        <f>PI()*(F353*(J353+C342)-E353*(K353+C342))/(((J353+C342)*(I353+C342))-((H353+C342)*(K353+C342)))</f>
        <v>#N/A</v>
      </c>
      <c r="Q353" s="623">
        <f t="shared" si="65"/>
        <v>0</v>
      </c>
      <c r="R353" s="622" t="e">
        <f>(E353*PI()-P353*(H353+C342))/(J353+C342)</f>
        <v>#N/A</v>
      </c>
      <c r="S353" s="625">
        <f t="shared" ref="S353:S400" si="66">S352</f>
        <v>360</v>
      </c>
      <c r="T353" s="236" t="e">
        <f t="shared" si="60"/>
        <v>#N/A</v>
      </c>
      <c r="U353" s="195" t="e">
        <f t="shared" si="61"/>
        <v>#N/A</v>
      </c>
      <c r="V353" s="195" t="e">
        <f t="shared" si="62"/>
        <v>#N/A</v>
      </c>
      <c r="W353" s="185"/>
      <c r="X353" s="141"/>
      <c r="Z353" s="187"/>
      <c r="AA353" s="187"/>
    </row>
    <row r="354" spans="1:27" s="186" customFormat="1" ht="15" customHeight="1">
      <c r="A354" s="215"/>
      <c r="B354" s="168" t="s">
        <v>1027</v>
      </c>
      <c r="C354" s="298">
        <f>C353+2*SIN(RADIANS(M346))*(N339+C342)</f>
        <v>0</v>
      </c>
      <c r="D354" s="323">
        <f>(C354-(SIN(RADIANS(M346))*N339)-(COS(RADIANS(M346))*O339))*PI()/MEDIAN(U339:V343,P339:Q343)</f>
        <v>-4.7123889803846897</v>
      </c>
      <c r="E354" s="323" t="e">
        <f>(C354*PI()-N354*(G354+C342))/PI()</f>
        <v>#N/A</v>
      </c>
      <c r="F354" s="323" t="e">
        <f>E354-2*O339*COS(RADIANS(M346))</f>
        <v>#N/A</v>
      </c>
      <c r="G354" s="325" t="e">
        <f>ROUND(VLOOKUP(M354,R339:V343,4,FALSE),)</f>
        <v>#N/A</v>
      </c>
      <c r="H354" s="325" t="e">
        <f>ROUND(VLOOKUP(O354,M339:Q343,4,FALSE),)</f>
        <v>#N/A</v>
      </c>
      <c r="I354" s="325" t="e">
        <f>ROUND(VLOOKUP(O354,M339:Q343,5,FALSE),)</f>
        <v>#N/A</v>
      </c>
      <c r="J354" s="325" t="e">
        <f>ROUND(VLOOKUP(Q354,M339:Q343,4,FALSE),)</f>
        <v>#N/A</v>
      </c>
      <c r="K354" s="325" t="e">
        <f>ROUND(VLOOKUP(Q354,M339:Q343,5,FALSE),)</f>
        <v>#N/A</v>
      </c>
      <c r="L354" s="620">
        <f t="shared" si="59"/>
        <v>-1.5707963267948966</v>
      </c>
      <c r="M354" s="623">
        <f t="shared" si="63"/>
        <v>0</v>
      </c>
      <c r="N354" s="621" t="e">
        <f>ROUND(HLOOKUP(M354,N345:R346,2,FALSE),)</f>
        <v>#N/A</v>
      </c>
      <c r="O354" s="623">
        <f t="shared" si="64"/>
        <v>0</v>
      </c>
      <c r="P354" s="622" t="e">
        <f>PI()*(F354*(J354+C342)-E354*(K354+C342))/(((J354+C342)*(I354+C342))-((H354+C342)*(K354+C342)))</f>
        <v>#N/A</v>
      </c>
      <c r="Q354" s="623">
        <f t="shared" si="65"/>
        <v>0</v>
      </c>
      <c r="R354" s="622" t="e">
        <f>(E354*PI()-P354*(H354+C342))/(J354+C342)</f>
        <v>#N/A</v>
      </c>
      <c r="S354" s="625">
        <f t="shared" si="66"/>
        <v>360</v>
      </c>
      <c r="T354" s="236" t="e">
        <f t="shared" si="60"/>
        <v>#N/A</v>
      </c>
      <c r="U354" s="195" t="e">
        <f t="shared" si="61"/>
        <v>#N/A</v>
      </c>
      <c r="V354" s="195" t="e">
        <f t="shared" si="62"/>
        <v>#N/A</v>
      </c>
      <c r="W354" s="185"/>
      <c r="X354" s="141"/>
      <c r="Z354" s="187"/>
      <c r="AA354" s="187"/>
    </row>
    <row r="355" spans="1:27" s="186" customFormat="1" ht="15" customHeight="1">
      <c r="A355" s="215"/>
      <c r="B355" s="168" t="s">
        <v>1028</v>
      </c>
      <c r="C355" s="298">
        <f>C354+2*SIN(RADIANS(M346))*(N339+C342)</f>
        <v>0</v>
      </c>
      <c r="D355" s="323">
        <f>(C355-(SIN(RADIANS(M346))*N339)-(COS(RADIANS(M346))*O339))*PI()/MEDIAN(U339:V343,P339:Q343)</f>
        <v>-4.7123889803846897</v>
      </c>
      <c r="E355" s="323" t="e">
        <f>(C355*PI()-N355*(G355+C342))/PI()</f>
        <v>#N/A</v>
      </c>
      <c r="F355" s="323" t="e">
        <f>E355-2*O339*COS(RADIANS(M346))</f>
        <v>#N/A</v>
      </c>
      <c r="G355" s="325" t="e">
        <f>ROUND(VLOOKUP(M355,R339:V343,4,FALSE),)</f>
        <v>#N/A</v>
      </c>
      <c r="H355" s="325" t="e">
        <f>ROUND(VLOOKUP(O355,M339:Q343,4,FALSE),)</f>
        <v>#N/A</v>
      </c>
      <c r="I355" s="325" t="e">
        <f>ROUND(VLOOKUP(O355,M339:Q343,5,FALSE),)</f>
        <v>#N/A</v>
      </c>
      <c r="J355" s="325" t="e">
        <f>ROUND(VLOOKUP(Q355,M339:Q343,4,FALSE),)</f>
        <v>#N/A</v>
      </c>
      <c r="K355" s="325" t="e">
        <f>ROUND(VLOOKUP(Q355,M339:Q343,5,FALSE),)</f>
        <v>#N/A</v>
      </c>
      <c r="L355" s="620">
        <f t="shared" si="59"/>
        <v>-1.5707963267948966</v>
      </c>
      <c r="M355" s="623">
        <f t="shared" si="63"/>
        <v>0</v>
      </c>
      <c r="N355" s="621" t="e">
        <f>ROUND(HLOOKUP(M355,N345:R346,2,FALSE),)</f>
        <v>#N/A</v>
      </c>
      <c r="O355" s="623">
        <f t="shared" si="64"/>
        <v>0</v>
      </c>
      <c r="P355" s="622" t="e">
        <f>PI()*(F355*(J355+C342)-E355*(K355+C342))/(((J355+C342)*(I355+C342))-((H355+C342)*(K355+C342)))</f>
        <v>#N/A</v>
      </c>
      <c r="Q355" s="623">
        <f t="shared" si="65"/>
        <v>0</v>
      </c>
      <c r="R355" s="622" t="e">
        <f>(E355*PI()-P355*(H355+C342))/(J355+C342)</f>
        <v>#N/A</v>
      </c>
      <c r="S355" s="625">
        <f t="shared" si="66"/>
        <v>360</v>
      </c>
      <c r="T355" s="236" t="e">
        <f t="shared" si="60"/>
        <v>#N/A</v>
      </c>
      <c r="U355" s="195" t="e">
        <f t="shared" si="61"/>
        <v>#N/A</v>
      </c>
      <c r="V355" s="195" t="e">
        <f t="shared" si="62"/>
        <v>#N/A</v>
      </c>
      <c r="W355" s="185"/>
      <c r="X355" s="141"/>
      <c r="Z355" s="187"/>
      <c r="AA355" s="187"/>
    </row>
    <row r="356" spans="1:27" s="186" customFormat="1" ht="15" customHeight="1">
      <c r="A356" s="215"/>
      <c r="B356" s="168" t="s">
        <v>1029</v>
      </c>
      <c r="C356" s="298">
        <f>C355+2*SIN(RADIANS(M346))*(N339+C342)</f>
        <v>0</v>
      </c>
      <c r="D356" s="323">
        <f>(C356-(SIN(RADIANS(M346))*N339)-(COS(RADIANS(M346))*O339))*PI()/MEDIAN(U339:V343,P339:Q343)</f>
        <v>-4.7123889803846897</v>
      </c>
      <c r="E356" s="323" t="e">
        <f>(C356*PI()-N356*(G356+C342))/PI()</f>
        <v>#N/A</v>
      </c>
      <c r="F356" s="323" t="e">
        <f>E356-2*O339*COS(RADIANS(M346))</f>
        <v>#N/A</v>
      </c>
      <c r="G356" s="325" t="e">
        <f>ROUND(VLOOKUP(M356,R339:V343,4,FALSE),)</f>
        <v>#N/A</v>
      </c>
      <c r="H356" s="325" t="e">
        <f>ROUND(VLOOKUP(O356,M339:Q343,4,FALSE),)</f>
        <v>#N/A</v>
      </c>
      <c r="I356" s="325" t="e">
        <f>ROUND(VLOOKUP(O356,M339:Q343,5,FALSE),)</f>
        <v>#N/A</v>
      </c>
      <c r="J356" s="325" t="e">
        <f>ROUND(VLOOKUP(Q356,M339:Q343,4,FALSE),)</f>
        <v>#N/A</v>
      </c>
      <c r="K356" s="325" t="e">
        <f>ROUND(VLOOKUP(Q356,M339:Q343,5,FALSE),)</f>
        <v>#N/A</v>
      </c>
      <c r="L356" s="620">
        <f t="shared" si="59"/>
        <v>-1.5707963267948966</v>
      </c>
      <c r="M356" s="623">
        <f>M355</f>
        <v>0</v>
      </c>
      <c r="N356" s="621" t="e">
        <f>ROUND(HLOOKUP(M356,N345:R346,2,FALSE),)</f>
        <v>#N/A</v>
      </c>
      <c r="O356" s="623">
        <f>O355</f>
        <v>0</v>
      </c>
      <c r="P356" s="622" t="e">
        <f>PI()*(F356*(J356+C342)-E356*(K356+C342))/(((J356+C342)*(I356+C342))-((H356+C342)*(K356+C342)))</f>
        <v>#N/A</v>
      </c>
      <c r="Q356" s="623">
        <f>Q355</f>
        <v>0</v>
      </c>
      <c r="R356" s="622" t="e">
        <f>(E356*PI()-P356*(H356+C342))/(J356+C342)</f>
        <v>#N/A</v>
      </c>
      <c r="S356" s="625">
        <f t="shared" si="66"/>
        <v>360</v>
      </c>
      <c r="T356" s="236" t="e">
        <f t="shared" si="60"/>
        <v>#N/A</v>
      </c>
      <c r="U356" s="195" t="e">
        <f t="shared" si="61"/>
        <v>#N/A</v>
      </c>
      <c r="V356" s="195" t="e">
        <f t="shared" si="62"/>
        <v>#N/A</v>
      </c>
      <c r="W356" s="185"/>
      <c r="X356" s="141"/>
      <c r="Z356" s="187"/>
      <c r="AA356" s="187"/>
    </row>
    <row r="357" spans="1:27" s="186" customFormat="1" ht="15" customHeight="1">
      <c r="A357" s="215"/>
      <c r="B357" s="168" t="s">
        <v>1030</v>
      </c>
      <c r="C357" s="298">
        <f>C356+2*SIN(RADIANS(M346))*(N339+C342)</f>
        <v>0</v>
      </c>
      <c r="D357" s="323">
        <f>(C357-(SIN(RADIANS(M346))*N339)-(COS(RADIANS(M346))*O339))*PI()/MEDIAN(U339:V343,P339:Q343)</f>
        <v>-4.7123889803846897</v>
      </c>
      <c r="E357" s="323" t="e">
        <f>(C357*PI()-N357*(G357+C342))/PI()</f>
        <v>#N/A</v>
      </c>
      <c r="F357" s="323" t="e">
        <f>E357-2*O339*COS(RADIANS(M346))</f>
        <v>#N/A</v>
      </c>
      <c r="G357" s="325" t="e">
        <f>ROUND(VLOOKUP(M357,R339:V343,4,FALSE),)</f>
        <v>#N/A</v>
      </c>
      <c r="H357" s="325" t="e">
        <f>ROUND(VLOOKUP(O357,M339:Q343,4,FALSE),)</f>
        <v>#N/A</v>
      </c>
      <c r="I357" s="325" t="e">
        <f>ROUND(VLOOKUP(O357,M339:Q343,5,FALSE),)</f>
        <v>#N/A</v>
      </c>
      <c r="J357" s="325" t="e">
        <f>ROUND(VLOOKUP(Q357,M339:Q343,4,FALSE),)</f>
        <v>#N/A</v>
      </c>
      <c r="K357" s="325" t="e">
        <f>ROUND(VLOOKUP(Q357,M339:Q343,5,FALSE),)</f>
        <v>#N/A</v>
      </c>
      <c r="L357" s="620">
        <f t="shared" si="59"/>
        <v>-1.5707963267948966</v>
      </c>
      <c r="M357" s="623">
        <f t="shared" si="63"/>
        <v>0</v>
      </c>
      <c r="N357" s="621" t="e">
        <f>ROUND(HLOOKUP(M357,N345:R346,2,FALSE),)</f>
        <v>#N/A</v>
      </c>
      <c r="O357" s="623">
        <f t="shared" si="64"/>
        <v>0</v>
      </c>
      <c r="P357" s="622" t="e">
        <f>PI()*(F357*(J357+C342)-E357*(K357+C342))/(((J357+C342)*(I357+C342))-((H357+C342)*(K357+C342)))</f>
        <v>#N/A</v>
      </c>
      <c r="Q357" s="623">
        <f t="shared" si="65"/>
        <v>0</v>
      </c>
      <c r="R357" s="622" t="e">
        <f>(E357*PI()-P357*(H357+C342))/(J357+C342)</f>
        <v>#N/A</v>
      </c>
      <c r="S357" s="625">
        <f t="shared" si="66"/>
        <v>360</v>
      </c>
      <c r="T357" s="236" t="e">
        <f t="shared" si="60"/>
        <v>#N/A</v>
      </c>
      <c r="U357" s="195" t="e">
        <f t="shared" si="61"/>
        <v>#N/A</v>
      </c>
      <c r="V357" s="195" t="e">
        <f t="shared" si="62"/>
        <v>#N/A</v>
      </c>
      <c r="W357" s="185"/>
      <c r="X357" s="141"/>
      <c r="Z357" s="187"/>
      <c r="AA357" s="187"/>
    </row>
    <row r="358" spans="1:27" s="186" customFormat="1" ht="15" customHeight="1">
      <c r="A358" s="215"/>
      <c r="B358" s="168" t="s">
        <v>1031</v>
      </c>
      <c r="C358" s="298">
        <f>C357+2*SIN(RADIANS(M346))*(N339+C342)</f>
        <v>0</v>
      </c>
      <c r="D358" s="323">
        <f>(C358-(SIN(RADIANS(M346))*N339)-(COS(RADIANS(M346))*O339))*PI()/MEDIAN(U339:V343,P339:Q343)</f>
        <v>-4.7123889803846897</v>
      </c>
      <c r="E358" s="323" t="e">
        <f>(C358*PI()-N358*(G358+C342))/PI()</f>
        <v>#N/A</v>
      </c>
      <c r="F358" s="323" t="e">
        <f>E358-2*O339*COS(RADIANS(M346))</f>
        <v>#N/A</v>
      </c>
      <c r="G358" s="325" t="e">
        <f>ROUND(VLOOKUP(M358,R339:V343,4,FALSE),)</f>
        <v>#N/A</v>
      </c>
      <c r="H358" s="325" t="e">
        <f>ROUND(VLOOKUP(O358,M339:Q343,4,FALSE),)</f>
        <v>#N/A</v>
      </c>
      <c r="I358" s="325" t="e">
        <f>ROUND(VLOOKUP(O358,M339:Q343,5,FALSE),)</f>
        <v>#N/A</v>
      </c>
      <c r="J358" s="325" t="e">
        <f>ROUND(VLOOKUP(Q358,M339:Q343,4,FALSE),)</f>
        <v>#N/A</v>
      </c>
      <c r="K358" s="325" t="e">
        <f>ROUND(VLOOKUP(Q358,M339:Q343,5,FALSE),)</f>
        <v>#N/A</v>
      </c>
      <c r="L358" s="620">
        <f t="shared" si="59"/>
        <v>-1.5707963267948966</v>
      </c>
      <c r="M358" s="623">
        <f t="shared" si="63"/>
        <v>0</v>
      </c>
      <c r="N358" s="621" t="e">
        <f>ROUND(HLOOKUP(M358,N345:R346,2,FALSE),)</f>
        <v>#N/A</v>
      </c>
      <c r="O358" s="623">
        <f t="shared" si="64"/>
        <v>0</v>
      </c>
      <c r="P358" s="622" t="e">
        <f>PI()*(F358*(J358+C342)-E358*(K358+C342))/(((J358+C342)*(I358+C342))-((H358+C342)*(K358+C342)))</f>
        <v>#N/A</v>
      </c>
      <c r="Q358" s="623">
        <f t="shared" si="65"/>
        <v>0</v>
      </c>
      <c r="R358" s="622" t="e">
        <f>(E358*PI()-P358*(H358+C342))/(J358+C342)</f>
        <v>#N/A</v>
      </c>
      <c r="S358" s="625">
        <f t="shared" si="66"/>
        <v>360</v>
      </c>
      <c r="T358" s="236" t="e">
        <f t="shared" si="60"/>
        <v>#N/A</v>
      </c>
      <c r="U358" s="195" t="e">
        <f t="shared" si="61"/>
        <v>#N/A</v>
      </c>
      <c r="V358" s="195" t="e">
        <f t="shared" si="62"/>
        <v>#N/A</v>
      </c>
      <c r="W358" s="185"/>
      <c r="X358" s="141"/>
      <c r="Z358" s="187"/>
      <c r="AA358" s="187"/>
    </row>
    <row r="359" spans="1:27" s="186" customFormat="1" ht="15" customHeight="1">
      <c r="A359" s="215"/>
      <c r="B359" s="168" t="s">
        <v>1032</v>
      </c>
      <c r="C359" s="298">
        <f>C358+2*SIN(RADIANS(M346))*(N339+C342)</f>
        <v>0</v>
      </c>
      <c r="D359" s="323">
        <f>(C359-(SIN(RADIANS(M346))*N339)-(COS(RADIANS(M346))*O339))*PI()/MEDIAN(U339:V343,P339:Q343)</f>
        <v>-4.7123889803846897</v>
      </c>
      <c r="E359" s="323" t="e">
        <f>(C359*PI()-N359*(G359+C342))/PI()</f>
        <v>#N/A</v>
      </c>
      <c r="F359" s="323" t="e">
        <f>E359-2*O339*COS(RADIANS(M346))</f>
        <v>#N/A</v>
      </c>
      <c r="G359" s="325" t="e">
        <f>ROUND(VLOOKUP(M359,R339:V343,4,FALSE),)</f>
        <v>#N/A</v>
      </c>
      <c r="H359" s="325" t="e">
        <f>ROUND(VLOOKUP(O359,M339:Q343,4,FALSE),)</f>
        <v>#N/A</v>
      </c>
      <c r="I359" s="325" t="e">
        <f>ROUND(VLOOKUP(O359,M339:Q343,5,FALSE),)</f>
        <v>#N/A</v>
      </c>
      <c r="J359" s="325" t="e">
        <f>ROUND(VLOOKUP(Q359,M339:Q343,4,FALSE),)</f>
        <v>#N/A</v>
      </c>
      <c r="K359" s="325" t="e">
        <f>ROUND(VLOOKUP(Q359,M339:Q343,5,FALSE),)</f>
        <v>#N/A</v>
      </c>
      <c r="L359" s="620">
        <f t="shared" si="59"/>
        <v>-1.5707963267948966</v>
      </c>
      <c r="M359" s="623">
        <f t="shared" si="63"/>
        <v>0</v>
      </c>
      <c r="N359" s="621" t="e">
        <f>ROUND(HLOOKUP(M359,N345:R346,2,FALSE),)</f>
        <v>#N/A</v>
      </c>
      <c r="O359" s="623">
        <f t="shared" si="64"/>
        <v>0</v>
      </c>
      <c r="P359" s="622" t="e">
        <f>PI()*(F359*(J359+C342)-E359*(K359+C342))/(((J359+C342)*(I359+C342))-((H359+C342)*(K359+C342)))</f>
        <v>#N/A</v>
      </c>
      <c r="Q359" s="623">
        <f t="shared" si="65"/>
        <v>0</v>
      </c>
      <c r="R359" s="622" t="e">
        <f>(E359*PI()-P359*(H359+C342))/(J359+C342)</f>
        <v>#N/A</v>
      </c>
      <c r="S359" s="625">
        <f t="shared" si="66"/>
        <v>360</v>
      </c>
      <c r="T359" s="236" t="e">
        <f t="shared" si="60"/>
        <v>#N/A</v>
      </c>
      <c r="U359" s="195" t="e">
        <f t="shared" si="61"/>
        <v>#N/A</v>
      </c>
      <c r="V359" s="195" t="e">
        <f t="shared" si="62"/>
        <v>#N/A</v>
      </c>
      <c r="W359" s="185"/>
      <c r="X359" s="141"/>
      <c r="Z359" s="187"/>
      <c r="AA359" s="187"/>
    </row>
    <row r="360" spans="1:27" s="186" customFormat="1" ht="15" customHeight="1">
      <c r="A360" s="215"/>
      <c r="B360" s="168" t="s">
        <v>1033</v>
      </c>
      <c r="C360" s="298">
        <f>C359+2*SIN(RADIANS(M346))*(N339+C342)</f>
        <v>0</v>
      </c>
      <c r="D360" s="323">
        <f>(C360-(SIN(RADIANS(M346))*N339)-(COS(RADIANS(M346))*O339))*PI()/MEDIAN(U339:V343,P339:Q343)</f>
        <v>-4.7123889803846897</v>
      </c>
      <c r="E360" s="323" t="e">
        <f>(C360*PI()-N360*(G360+C342))/PI()</f>
        <v>#N/A</v>
      </c>
      <c r="F360" s="323" t="e">
        <f>E360-2*O339*COS(RADIANS(M346))</f>
        <v>#N/A</v>
      </c>
      <c r="G360" s="325" t="e">
        <f>ROUND(VLOOKUP(M360,R339:V343,4,FALSE),)</f>
        <v>#N/A</v>
      </c>
      <c r="H360" s="325" t="e">
        <f>ROUND(VLOOKUP(O360,M339:Q343,4,FALSE),)</f>
        <v>#N/A</v>
      </c>
      <c r="I360" s="325" t="e">
        <f>ROUND(VLOOKUP(O360,M339:Q343,5,FALSE),)</f>
        <v>#N/A</v>
      </c>
      <c r="J360" s="325" t="e">
        <f>ROUND(VLOOKUP(Q360,M339:Q343,4,FALSE),)</f>
        <v>#N/A</v>
      </c>
      <c r="K360" s="325" t="e">
        <f>ROUND(VLOOKUP(Q360,M339:Q343,5,FALSE),)</f>
        <v>#N/A</v>
      </c>
      <c r="L360" s="620">
        <f t="shared" si="59"/>
        <v>-1.5707963267948966</v>
      </c>
      <c r="M360" s="623">
        <f t="shared" si="63"/>
        <v>0</v>
      </c>
      <c r="N360" s="621" t="e">
        <f>ROUND(HLOOKUP(M360,N345:R346,2,FALSE),)</f>
        <v>#N/A</v>
      </c>
      <c r="O360" s="623">
        <f t="shared" si="64"/>
        <v>0</v>
      </c>
      <c r="P360" s="622" t="e">
        <f>PI()*(F360*(J360+C342)-E360*(K360+C342))/(((J360+C342)*(I360+C342))-((H360+C342)*(K360+C342)))</f>
        <v>#N/A</v>
      </c>
      <c r="Q360" s="623">
        <f t="shared" si="65"/>
        <v>0</v>
      </c>
      <c r="R360" s="622" t="e">
        <f>(E360*PI()-P360*(H360+C342))/(J360+C342)</f>
        <v>#N/A</v>
      </c>
      <c r="S360" s="625">
        <f t="shared" si="66"/>
        <v>360</v>
      </c>
      <c r="T360" s="236" t="e">
        <f t="shared" si="60"/>
        <v>#N/A</v>
      </c>
      <c r="U360" s="195" t="e">
        <f t="shared" si="61"/>
        <v>#N/A</v>
      </c>
      <c r="V360" s="195" t="e">
        <f t="shared" si="62"/>
        <v>#N/A</v>
      </c>
      <c r="W360" s="185"/>
      <c r="X360" s="141"/>
      <c r="Z360" s="187"/>
      <c r="AA360" s="187"/>
    </row>
    <row r="361" spans="1:27" s="186" customFormat="1" ht="15" customHeight="1">
      <c r="A361" s="215"/>
      <c r="B361" s="168" t="s">
        <v>1034</v>
      </c>
      <c r="C361" s="298">
        <f>C360+2*SIN(RADIANS(M346))*(N339+C342)</f>
        <v>0</v>
      </c>
      <c r="D361" s="323">
        <f>(C361-(SIN(RADIANS(M346))*N339)-(COS(RADIANS(M346))*O339))*PI()/MEDIAN(U339:V343,P339:Q343)</f>
        <v>-4.7123889803846897</v>
      </c>
      <c r="E361" s="323" t="e">
        <f>(C361*PI()-N361*(G361+C342))/PI()</f>
        <v>#N/A</v>
      </c>
      <c r="F361" s="323" t="e">
        <f>E361-2*O339*COS(RADIANS(M346))</f>
        <v>#N/A</v>
      </c>
      <c r="G361" s="325" t="e">
        <f>ROUND(VLOOKUP(M361,R339:V343,4,FALSE),)</f>
        <v>#N/A</v>
      </c>
      <c r="H361" s="325" t="e">
        <f>ROUND(VLOOKUP(O361,M339:Q343,4,FALSE),)</f>
        <v>#N/A</v>
      </c>
      <c r="I361" s="325" t="e">
        <f>ROUND(VLOOKUP(O361,M339:Q343,5,FALSE),)</f>
        <v>#N/A</v>
      </c>
      <c r="J361" s="325" t="e">
        <f>ROUND(VLOOKUP(Q361,M339:Q343,4,FALSE),)</f>
        <v>#N/A</v>
      </c>
      <c r="K361" s="325" t="e">
        <f>ROUND(VLOOKUP(Q361,M339:Q343,5,FALSE),)</f>
        <v>#N/A</v>
      </c>
      <c r="L361" s="620">
        <f t="shared" si="59"/>
        <v>-1.5707963267948966</v>
      </c>
      <c r="M361" s="623">
        <f t="shared" si="63"/>
        <v>0</v>
      </c>
      <c r="N361" s="621" t="e">
        <f>ROUND(HLOOKUP(M361,N345:R346,2,FALSE),)</f>
        <v>#N/A</v>
      </c>
      <c r="O361" s="623">
        <f t="shared" si="64"/>
        <v>0</v>
      </c>
      <c r="P361" s="622" t="e">
        <f>PI()*(F361*(J361+C342)-E361*(K361+C342))/(((J361+C342)*(I361+C342))-((H361+C342)*(K361+C342)))</f>
        <v>#N/A</v>
      </c>
      <c r="Q361" s="623">
        <f t="shared" si="65"/>
        <v>0</v>
      </c>
      <c r="R361" s="622" t="e">
        <f>(E361*PI()-P361*(H361+C342))/(J361+C342)</f>
        <v>#N/A</v>
      </c>
      <c r="S361" s="625">
        <f t="shared" si="66"/>
        <v>360</v>
      </c>
      <c r="T361" s="236" t="e">
        <f t="shared" si="60"/>
        <v>#N/A</v>
      </c>
      <c r="U361" s="195" t="e">
        <f t="shared" si="61"/>
        <v>#N/A</v>
      </c>
      <c r="V361" s="195" t="e">
        <f t="shared" si="62"/>
        <v>#N/A</v>
      </c>
      <c r="W361" s="185"/>
      <c r="X361" s="141"/>
      <c r="Z361" s="187"/>
      <c r="AA361" s="187"/>
    </row>
    <row r="362" spans="1:27" s="186" customFormat="1" ht="15" customHeight="1">
      <c r="A362" s="215"/>
      <c r="B362" s="168" t="s">
        <v>1035</v>
      </c>
      <c r="C362" s="298">
        <f>C361+2*SIN(RADIANS(M346))*(N339+C342)</f>
        <v>0</v>
      </c>
      <c r="D362" s="323">
        <f>(C362-(SIN(RADIANS(M346))*N339)-(COS(RADIANS(M346))*O339))*PI()/MEDIAN(U339:V343,P339:Q343)</f>
        <v>-4.7123889803846897</v>
      </c>
      <c r="E362" s="323" t="e">
        <f>(C362*PI()-N362*(G362+C342))/PI()</f>
        <v>#N/A</v>
      </c>
      <c r="F362" s="323" t="e">
        <f>E362-2*O339*COS(RADIANS(M346))</f>
        <v>#N/A</v>
      </c>
      <c r="G362" s="325" t="e">
        <f>ROUND(VLOOKUP(M362,R339:V343,4,FALSE),)</f>
        <v>#N/A</v>
      </c>
      <c r="H362" s="325" t="e">
        <f>ROUND(VLOOKUP(O362,M339:Q343,4,FALSE),)</f>
        <v>#N/A</v>
      </c>
      <c r="I362" s="325" t="e">
        <f>ROUND(VLOOKUP(O362,M339:Q343,5,FALSE),)</f>
        <v>#N/A</v>
      </c>
      <c r="J362" s="325" t="e">
        <f>ROUND(VLOOKUP(Q362,M339:Q343,4,FALSE),)</f>
        <v>#N/A</v>
      </c>
      <c r="K362" s="325" t="e">
        <f>ROUND(VLOOKUP(Q362,M339:Q343,5,FALSE),)</f>
        <v>#N/A</v>
      </c>
      <c r="L362" s="620">
        <f t="shared" si="59"/>
        <v>-1.5707963267948966</v>
      </c>
      <c r="M362" s="623">
        <f t="shared" si="63"/>
        <v>0</v>
      </c>
      <c r="N362" s="621" t="e">
        <f>ROUND(HLOOKUP(M362,N345:R346,2,FALSE),)</f>
        <v>#N/A</v>
      </c>
      <c r="O362" s="623">
        <f t="shared" si="64"/>
        <v>0</v>
      </c>
      <c r="P362" s="622" t="e">
        <f>PI()*(F362*(J362+C342)-E362*(K362+C342))/(((J362+C342)*(I362+C342))-((H362+C342)*(K362+C342)))</f>
        <v>#N/A</v>
      </c>
      <c r="Q362" s="623">
        <f t="shared" si="65"/>
        <v>0</v>
      </c>
      <c r="R362" s="622" t="e">
        <f>(E362*PI()-P362*(H362+C342))/(J362+C342)</f>
        <v>#N/A</v>
      </c>
      <c r="S362" s="625">
        <f t="shared" si="66"/>
        <v>360</v>
      </c>
      <c r="T362" s="236" t="e">
        <f t="shared" si="60"/>
        <v>#N/A</v>
      </c>
      <c r="U362" s="195" t="e">
        <f t="shared" si="61"/>
        <v>#N/A</v>
      </c>
      <c r="V362" s="195" t="e">
        <f t="shared" si="62"/>
        <v>#N/A</v>
      </c>
      <c r="W362" s="185"/>
      <c r="X362" s="141"/>
      <c r="Z362" s="187"/>
      <c r="AA362" s="187"/>
    </row>
    <row r="363" spans="1:27" s="186" customFormat="1" ht="15" customHeight="1">
      <c r="A363" s="215"/>
      <c r="B363" s="168" t="s">
        <v>1036</v>
      </c>
      <c r="C363" s="298">
        <f>C362+2*SIN(RADIANS(M346))*(N339+C342)</f>
        <v>0</v>
      </c>
      <c r="D363" s="323">
        <f>(C363-(SIN(RADIANS(M346))*N339)-(COS(RADIANS(M346))*O339))*PI()/MEDIAN(U339:V343,P339:Q343)</f>
        <v>-4.7123889803846897</v>
      </c>
      <c r="E363" s="323" t="e">
        <f>(C363*PI()-N363*(G363+C342))/PI()</f>
        <v>#N/A</v>
      </c>
      <c r="F363" s="323" t="e">
        <f>E363-2*O339*COS(RADIANS(M346))</f>
        <v>#N/A</v>
      </c>
      <c r="G363" s="325" t="e">
        <f>ROUND(VLOOKUP(M363,R339:V343,4,FALSE),)</f>
        <v>#N/A</v>
      </c>
      <c r="H363" s="325" t="e">
        <f>ROUND(VLOOKUP(O363,M339:Q343,4,FALSE),)</f>
        <v>#N/A</v>
      </c>
      <c r="I363" s="325" t="e">
        <f>ROUND(VLOOKUP(O363,M339:Q343,5,FALSE),)</f>
        <v>#N/A</v>
      </c>
      <c r="J363" s="325" t="e">
        <f>ROUND(VLOOKUP(Q363,M339:Q343,4,FALSE),)</f>
        <v>#N/A</v>
      </c>
      <c r="K363" s="325" t="e">
        <f>ROUND(VLOOKUP(Q363,M339:Q343,5,FALSE),)</f>
        <v>#N/A</v>
      </c>
      <c r="L363" s="620">
        <f t="shared" si="59"/>
        <v>-1.5707963267948966</v>
      </c>
      <c r="M363" s="623">
        <f t="shared" si="63"/>
        <v>0</v>
      </c>
      <c r="N363" s="621" t="e">
        <f>ROUND(HLOOKUP(M363,N345:R346,2,FALSE),)</f>
        <v>#N/A</v>
      </c>
      <c r="O363" s="623">
        <f t="shared" si="64"/>
        <v>0</v>
      </c>
      <c r="P363" s="622" t="e">
        <f>PI()*(F363*(J363+C342)-E363*(K363+C342))/(((J363+C342)*(I363+C342))-((H363+C342)*(K363+C342)))</f>
        <v>#N/A</v>
      </c>
      <c r="Q363" s="623">
        <f t="shared" si="65"/>
        <v>0</v>
      </c>
      <c r="R363" s="622" t="e">
        <f>(E363*PI()-P363*(H363+C342))/(J363+C342)</f>
        <v>#N/A</v>
      </c>
      <c r="S363" s="625">
        <f t="shared" si="66"/>
        <v>360</v>
      </c>
      <c r="T363" s="236" t="e">
        <f t="shared" si="60"/>
        <v>#N/A</v>
      </c>
      <c r="U363" s="195" t="e">
        <f t="shared" si="61"/>
        <v>#N/A</v>
      </c>
      <c r="V363" s="195" t="e">
        <f t="shared" si="62"/>
        <v>#N/A</v>
      </c>
      <c r="W363" s="185"/>
      <c r="X363" s="141"/>
      <c r="Z363" s="187"/>
      <c r="AA363" s="187"/>
    </row>
    <row r="364" spans="1:27" s="186" customFormat="1" ht="15" customHeight="1">
      <c r="A364" s="215"/>
      <c r="B364" s="168" t="s">
        <v>1037</v>
      </c>
      <c r="C364" s="298">
        <f>C363+2*SIN(RADIANS(M346))*(N339+C342)</f>
        <v>0</v>
      </c>
      <c r="D364" s="323">
        <f>(C364-(SIN(RADIANS(M346))*N339)-(COS(RADIANS(M346))*O339))*PI()/MEDIAN(U339:V343,P339:Q343)</f>
        <v>-4.7123889803846897</v>
      </c>
      <c r="E364" s="323" t="e">
        <f>(C364*PI()-N364*(G364+C342))/PI()</f>
        <v>#N/A</v>
      </c>
      <c r="F364" s="323" t="e">
        <f>E364-2*O339*COS(RADIANS(M346))</f>
        <v>#N/A</v>
      </c>
      <c r="G364" s="325" t="e">
        <f>ROUND(VLOOKUP(M364,R339:V343,4,FALSE),)</f>
        <v>#N/A</v>
      </c>
      <c r="H364" s="325" t="e">
        <f>ROUND(VLOOKUP(O364,M339:Q343,4,FALSE),)</f>
        <v>#N/A</v>
      </c>
      <c r="I364" s="325" t="e">
        <f>ROUND(VLOOKUP(O364,M339:Q343,5,FALSE),)</f>
        <v>#N/A</v>
      </c>
      <c r="J364" s="325" t="e">
        <f>ROUND(VLOOKUP(Q364,M339:Q343,4,FALSE),)</f>
        <v>#N/A</v>
      </c>
      <c r="K364" s="325" t="e">
        <f>ROUND(VLOOKUP(Q364,M339:Q343,5,FALSE),)</f>
        <v>#N/A</v>
      </c>
      <c r="L364" s="620">
        <f t="shared" si="59"/>
        <v>-1.5707963267948966</v>
      </c>
      <c r="M364" s="623">
        <f t="shared" si="63"/>
        <v>0</v>
      </c>
      <c r="N364" s="621" t="e">
        <f>ROUND(HLOOKUP(M364,N345:R346,2,FALSE),)</f>
        <v>#N/A</v>
      </c>
      <c r="O364" s="623">
        <f t="shared" si="64"/>
        <v>0</v>
      </c>
      <c r="P364" s="622" t="e">
        <f>PI()*(F364*(J364+C342)-E364*(K364+C342))/(((J364+C342)*(I364+C342))-((H364+C342)*(K364+C342)))</f>
        <v>#N/A</v>
      </c>
      <c r="Q364" s="623">
        <f t="shared" si="65"/>
        <v>0</v>
      </c>
      <c r="R364" s="622" t="e">
        <f>(E364*PI()-P364*(H364+C342))/(J364+C342)</f>
        <v>#N/A</v>
      </c>
      <c r="S364" s="625">
        <f t="shared" si="66"/>
        <v>360</v>
      </c>
      <c r="T364" s="236" t="e">
        <f t="shared" si="60"/>
        <v>#N/A</v>
      </c>
      <c r="U364" s="195" t="e">
        <f t="shared" si="61"/>
        <v>#N/A</v>
      </c>
      <c r="V364" s="195" t="e">
        <f t="shared" si="62"/>
        <v>#N/A</v>
      </c>
      <c r="W364" s="185"/>
      <c r="X364" s="141"/>
      <c r="Z364" s="187"/>
      <c r="AA364" s="187"/>
    </row>
    <row r="365" spans="1:27" s="186" customFormat="1" ht="15" customHeight="1">
      <c r="A365" s="215"/>
      <c r="B365" s="168" t="s">
        <v>1038</v>
      </c>
      <c r="C365" s="298">
        <f>C364+2*SIN(RADIANS(M346))*(N339+C342)</f>
        <v>0</v>
      </c>
      <c r="D365" s="323">
        <f>(C365-(SIN(RADIANS(M346))*N339)-(COS(RADIANS(M346))*O339))*PI()/MEDIAN(U339:V343,P339:Q343)</f>
        <v>-4.7123889803846897</v>
      </c>
      <c r="E365" s="323" t="e">
        <f>(C365*PI()-N365*(G365+C342))/PI()</f>
        <v>#N/A</v>
      </c>
      <c r="F365" s="323" t="e">
        <f>E365-2*O339*COS(RADIANS(M346))</f>
        <v>#N/A</v>
      </c>
      <c r="G365" s="325" t="e">
        <f>ROUND(VLOOKUP(M365,R339:V343,4,FALSE),)</f>
        <v>#N/A</v>
      </c>
      <c r="H365" s="325" t="e">
        <f>ROUND(VLOOKUP(O365,M339:Q343,4,FALSE),)</f>
        <v>#N/A</v>
      </c>
      <c r="I365" s="325" t="e">
        <f>ROUND(VLOOKUP(O365,M339:Q343,5,FALSE),)</f>
        <v>#N/A</v>
      </c>
      <c r="J365" s="325" t="e">
        <f>ROUND(VLOOKUP(Q365,M339:Q343,4,FALSE),)</f>
        <v>#N/A</v>
      </c>
      <c r="K365" s="325" t="e">
        <f>ROUND(VLOOKUP(Q365,M339:Q343,5,FALSE),)</f>
        <v>#N/A</v>
      </c>
      <c r="L365" s="620">
        <f t="shared" si="59"/>
        <v>-1.5707963267948966</v>
      </c>
      <c r="M365" s="623">
        <f t="shared" si="63"/>
        <v>0</v>
      </c>
      <c r="N365" s="621" t="e">
        <f>ROUND(HLOOKUP(M365,N345:R346,2,FALSE),)</f>
        <v>#N/A</v>
      </c>
      <c r="O365" s="623">
        <f t="shared" si="64"/>
        <v>0</v>
      </c>
      <c r="P365" s="622" t="e">
        <f>PI()*(F365*(J365+C342)-E365*(K365+C342))/(((J365+C342)*(I365+C342))-((H365+C342)*(K365+C342)))</f>
        <v>#N/A</v>
      </c>
      <c r="Q365" s="623">
        <f t="shared" si="65"/>
        <v>0</v>
      </c>
      <c r="R365" s="622" t="e">
        <f>(E365*PI()-P365*(H365+C342))/(J365+C342)</f>
        <v>#N/A</v>
      </c>
      <c r="S365" s="625">
        <f t="shared" si="66"/>
        <v>360</v>
      </c>
      <c r="T365" s="236" t="e">
        <f t="shared" si="60"/>
        <v>#N/A</v>
      </c>
      <c r="U365" s="195" t="e">
        <f t="shared" si="61"/>
        <v>#N/A</v>
      </c>
      <c r="V365" s="195" t="e">
        <f t="shared" si="62"/>
        <v>#N/A</v>
      </c>
      <c r="W365" s="185"/>
      <c r="X365" s="141"/>
      <c r="Z365" s="187"/>
      <c r="AA365" s="187"/>
    </row>
    <row r="366" spans="1:27" s="186" customFormat="1" ht="15" customHeight="1">
      <c r="A366" s="215"/>
      <c r="B366" s="168" t="s">
        <v>1039</v>
      </c>
      <c r="C366" s="298">
        <f>C365+2*SIN(RADIANS(M346))*(N339+C342)</f>
        <v>0</v>
      </c>
      <c r="D366" s="323">
        <f>(C366-(SIN(RADIANS(M346))*N339)-(COS(RADIANS(M346))*O339))*PI()/MEDIAN(U339:V343,P339:Q343)</f>
        <v>-4.7123889803846897</v>
      </c>
      <c r="E366" s="323" t="e">
        <f>(C366*PI()-N366*(G366+C342))/PI()</f>
        <v>#N/A</v>
      </c>
      <c r="F366" s="323" t="e">
        <f>E366-2*O339*COS(RADIANS(M346))</f>
        <v>#N/A</v>
      </c>
      <c r="G366" s="325" t="e">
        <f>ROUND(VLOOKUP(M366,R339:V343,4,FALSE),)</f>
        <v>#N/A</v>
      </c>
      <c r="H366" s="325" t="e">
        <f>ROUND(VLOOKUP(O366,M339:Q343,4,FALSE),)</f>
        <v>#N/A</v>
      </c>
      <c r="I366" s="325" t="e">
        <f>ROUND(VLOOKUP(O366,M339:Q343,5,FALSE),)</f>
        <v>#N/A</v>
      </c>
      <c r="J366" s="325" t="e">
        <f>ROUND(VLOOKUP(Q366,M339:Q343,4,FALSE),)</f>
        <v>#N/A</v>
      </c>
      <c r="K366" s="325" t="e">
        <f>ROUND(VLOOKUP(Q366,M339:Q343,5,FALSE),)</f>
        <v>#N/A</v>
      </c>
      <c r="L366" s="620">
        <f t="shared" si="59"/>
        <v>-1.5707963267948966</v>
      </c>
      <c r="M366" s="623">
        <f t="shared" si="63"/>
        <v>0</v>
      </c>
      <c r="N366" s="621" t="e">
        <f>ROUND(HLOOKUP(M366,N345:R346,2,FALSE),)</f>
        <v>#N/A</v>
      </c>
      <c r="O366" s="623">
        <f t="shared" si="64"/>
        <v>0</v>
      </c>
      <c r="P366" s="622" t="e">
        <f>PI()*(F366*(J366+C342)-E366*(K366+C342))/(((J366+C342)*(I366+C342))-((H366+C342)*(K366+C342)))</f>
        <v>#N/A</v>
      </c>
      <c r="Q366" s="623">
        <f t="shared" si="65"/>
        <v>0</v>
      </c>
      <c r="R366" s="622" t="e">
        <f>(E366*PI()-P366*(H366+C342))/(J366+C342)</f>
        <v>#N/A</v>
      </c>
      <c r="S366" s="625">
        <f t="shared" si="66"/>
        <v>360</v>
      </c>
      <c r="T366" s="236" t="e">
        <f t="shared" si="60"/>
        <v>#N/A</v>
      </c>
      <c r="U366" s="195" t="e">
        <f t="shared" si="61"/>
        <v>#N/A</v>
      </c>
      <c r="V366" s="195" t="e">
        <f t="shared" si="62"/>
        <v>#N/A</v>
      </c>
      <c r="W366" s="185"/>
      <c r="X366" s="141"/>
      <c r="Z366" s="187"/>
      <c r="AA366" s="187"/>
    </row>
    <row r="367" spans="1:27" s="186" customFormat="1" ht="15" customHeight="1">
      <c r="A367" s="215"/>
      <c r="B367" s="168" t="s">
        <v>1040</v>
      </c>
      <c r="C367" s="298">
        <f>C366+2*SIN(RADIANS(M346))*(N339+C342)</f>
        <v>0</v>
      </c>
      <c r="D367" s="323">
        <f>(C367-(SIN(RADIANS(M346))*N339)-(COS(RADIANS(M346))*O339))*PI()/MEDIAN(U339:V343,P339:Q343)</f>
        <v>-4.7123889803846897</v>
      </c>
      <c r="E367" s="323" t="e">
        <f>(C367*PI()-N367*(G367+C342))/PI()</f>
        <v>#N/A</v>
      </c>
      <c r="F367" s="323" t="e">
        <f>E367-2*O339*COS(RADIANS(M346))</f>
        <v>#N/A</v>
      </c>
      <c r="G367" s="325" t="e">
        <f>ROUND(VLOOKUP(M367,R339:V343,4,FALSE),)</f>
        <v>#N/A</v>
      </c>
      <c r="H367" s="325" t="e">
        <f>ROUND(VLOOKUP(O367,M339:Q343,4,FALSE),)</f>
        <v>#N/A</v>
      </c>
      <c r="I367" s="325" t="e">
        <f>ROUND(VLOOKUP(O367,M339:Q343,5,FALSE),)</f>
        <v>#N/A</v>
      </c>
      <c r="J367" s="325" t="e">
        <f>ROUND(VLOOKUP(Q367,M339:Q343,4,FALSE),)</f>
        <v>#N/A</v>
      </c>
      <c r="K367" s="325" t="e">
        <f>ROUND(VLOOKUP(Q367,M339:Q343,5,FALSE),)</f>
        <v>#N/A</v>
      </c>
      <c r="L367" s="620">
        <f t="shared" si="59"/>
        <v>-1.5707963267948966</v>
      </c>
      <c r="M367" s="623">
        <f t="shared" si="63"/>
        <v>0</v>
      </c>
      <c r="N367" s="621" t="e">
        <f>ROUND(HLOOKUP(M367,N345:R346,2,FALSE),)</f>
        <v>#N/A</v>
      </c>
      <c r="O367" s="623">
        <f t="shared" si="64"/>
        <v>0</v>
      </c>
      <c r="P367" s="622" t="e">
        <f>PI()*(F367*(J367+C342)-E367*(K367+C342))/(((J367+C342)*(I367+C342))-((H367+C342)*(K367+C342)))</f>
        <v>#N/A</v>
      </c>
      <c r="Q367" s="623">
        <f t="shared" si="65"/>
        <v>0</v>
      </c>
      <c r="R367" s="622" t="e">
        <f>(E367*PI()-P367*(H367+C342))/(J367+C342)</f>
        <v>#N/A</v>
      </c>
      <c r="S367" s="625">
        <f t="shared" si="66"/>
        <v>360</v>
      </c>
      <c r="T367" s="236" t="e">
        <f t="shared" si="60"/>
        <v>#N/A</v>
      </c>
      <c r="U367" s="195" t="e">
        <f t="shared" si="61"/>
        <v>#N/A</v>
      </c>
      <c r="V367" s="195" t="e">
        <f t="shared" si="62"/>
        <v>#N/A</v>
      </c>
      <c r="W367" s="185"/>
      <c r="X367" s="141"/>
      <c r="Z367" s="187"/>
      <c r="AA367" s="187"/>
    </row>
    <row r="368" spans="1:27" s="186" customFormat="1" ht="15" customHeight="1">
      <c r="A368" s="215"/>
      <c r="B368" s="168" t="s">
        <v>1041</v>
      </c>
      <c r="C368" s="298">
        <f>C367+2*SIN(RADIANS(M346))*(N339+C342)</f>
        <v>0</v>
      </c>
      <c r="D368" s="323">
        <f>(C368-(SIN(RADIANS(M346))*N339)-(COS(RADIANS(M346))*O339))*PI()/MEDIAN(U339:V343,P339:Q343)</f>
        <v>-4.7123889803846897</v>
      </c>
      <c r="E368" s="323" t="e">
        <f>(C368*PI()-N368*(G368+C342))/PI()</f>
        <v>#N/A</v>
      </c>
      <c r="F368" s="323" t="e">
        <f>E368-2*O339*COS(RADIANS(M346))</f>
        <v>#N/A</v>
      </c>
      <c r="G368" s="325" t="e">
        <f>ROUND(VLOOKUP(M368,R339:V343,4,FALSE),)</f>
        <v>#N/A</v>
      </c>
      <c r="H368" s="325" t="e">
        <f>ROUND(VLOOKUP(O368,M339:Q343,4,FALSE),)</f>
        <v>#N/A</v>
      </c>
      <c r="I368" s="325" t="e">
        <f>ROUND(VLOOKUP(O368,M339:Q343,5,FALSE),)</f>
        <v>#N/A</v>
      </c>
      <c r="J368" s="325" t="e">
        <f>ROUND(VLOOKUP(Q368,M339:Q343,4,FALSE),)</f>
        <v>#N/A</v>
      </c>
      <c r="K368" s="325" t="e">
        <f>ROUND(VLOOKUP(Q368,M339:Q343,5,FALSE),)</f>
        <v>#N/A</v>
      </c>
      <c r="L368" s="620">
        <f t="shared" si="59"/>
        <v>-1.5707963267948966</v>
      </c>
      <c r="M368" s="623">
        <f t="shared" si="63"/>
        <v>0</v>
      </c>
      <c r="N368" s="621" t="e">
        <f>ROUND(HLOOKUP(M368,N345:R346,2,FALSE),)</f>
        <v>#N/A</v>
      </c>
      <c r="O368" s="623">
        <f t="shared" si="64"/>
        <v>0</v>
      </c>
      <c r="P368" s="622" t="e">
        <f>PI()*(F368*(J368+C342)-E368*(K368+C342))/(((J368+C342)*(I368+C342))-((H368+C342)*(K368+C342)))</f>
        <v>#N/A</v>
      </c>
      <c r="Q368" s="623">
        <f t="shared" si="65"/>
        <v>0</v>
      </c>
      <c r="R368" s="622" t="e">
        <f>(E368*PI()-P368*(H368+C342))/(J368+C342)</f>
        <v>#N/A</v>
      </c>
      <c r="S368" s="625">
        <f t="shared" si="66"/>
        <v>360</v>
      </c>
      <c r="T368" s="236" t="e">
        <f t="shared" si="60"/>
        <v>#N/A</v>
      </c>
      <c r="U368" s="195" t="e">
        <f t="shared" si="61"/>
        <v>#N/A</v>
      </c>
      <c r="V368" s="195" t="e">
        <f t="shared" si="62"/>
        <v>#N/A</v>
      </c>
      <c r="W368" s="185"/>
      <c r="X368" s="141"/>
      <c r="Z368" s="187"/>
      <c r="AA368" s="187"/>
    </row>
    <row r="369" spans="1:27" s="186" customFormat="1" ht="15" customHeight="1">
      <c r="A369" s="215"/>
      <c r="B369" s="168" t="s">
        <v>1042</v>
      </c>
      <c r="C369" s="298">
        <f>C368+2*SIN(RADIANS(M346))*(N339+C342)</f>
        <v>0</v>
      </c>
      <c r="D369" s="323">
        <f>(C369-(SIN(RADIANS(M346))*N339)-(COS(RADIANS(M346))*O339))*PI()/MEDIAN(U339:V343,P339:Q343)</f>
        <v>-4.7123889803846897</v>
      </c>
      <c r="E369" s="323" t="e">
        <f>(C369*PI()-N369*(G369+C342))/PI()</f>
        <v>#N/A</v>
      </c>
      <c r="F369" s="323" t="e">
        <f>E369-2*O339*COS(RADIANS(M346))</f>
        <v>#N/A</v>
      </c>
      <c r="G369" s="325" t="e">
        <f>ROUND(VLOOKUP(M369,R339:V343,4,FALSE),)</f>
        <v>#N/A</v>
      </c>
      <c r="H369" s="325" t="e">
        <f>ROUND(VLOOKUP(O369,M339:Q343,4,FALSE),)</f>
        <v>#N/A</v>
      </c>
      <c r="I369" s="325" t="e">
        <f>ROUND(VLOOKUP(O369,M339:Q343,5,FALSE),)</f>
        <v>#N/A</v>
      </c>
      <c r="J369" s="325" t="e">
        <f>ROUND(VLOOKUP(Q369,M339:Q343,4,FALSE),)</f>
        <v>#N/A</v>
      </c>
      <c r="K369" s="325" t="e">
        <f>ROUND(VLOOKUP(Q369,M339:Q343,5,FALSE),)</f>
        <v>#N/A</v>
      </c>
      <c r="L369" s="620">
        <f t="shared" si="59"/>
        <v>-1.5707963267948966</v>
      </c>
      <c r="M369" s="623">
        <f t="shared" si="63"/>
        <v>0</v>
      </c>
      <c r="N369" s="621" t="e">
        <f>ROUND(HLOOKUP(M369,N345:R346,2,FALSE),)</f>
        <v>#N/A</v>
      </c>
      <c r="O369" s="623">
        <f t="shared" si="64"/>
        <v>0</v>
      </c>
      <c r="P369" s="622" t="e">
        <f>PI()*(F369*(J369+C342)-E369*(K369+C342))/(((J369+C342)*(I369+C342))-((H369+C342)*(K369+C342)))</f>
        <v>#N/A</v>
      </c>
      <c r="Q369" s="623">
        <f t="shared" si="65"/>
        <v>0</v>
      </c>
      <c r="R369" s="622" t="e">
        <f>(E369*PI()-P369*(H369+C342))/(J369+C342)</f>
        <v>#N/A</v>
      </c>
      <c r="S369" s="625">
        <f t="shared" si="66"/>
        <v>360</v>
      </c>
      <c r="T369" s="236" t="e">
        <f t="shared" si="60"/>
        <v>#N/A</v>
      </c>
      <c r="U369" s="195" t="e">
        <f t="shared" si="61"/>
        <v>#N/A</v>
      </c>
      <c r="V369" s="195" t="e">
        <f t="shared" si="62"/>
        <v>#N/A</v>
      </c>
      <c r="W369" s="185"/>
      <c r="X369" s="141"/>
      <c r="Z369" s="187"/>
      <c r="AA369" s="187"/>
    </row>
    <row r="370" spans="1:27" s="186" customFormat="1" ht="15" customHeight="1">
      <c r="A370" s="215"/>
      <c r="B370" s="168" t="s">
        <v>1043</v>
      </c>
      <c r="C370" s="298">
        <f>C369+2*SIN(RADIANS(M346))*(N339+C342)</f>
        <v>0</v>
      </c>
      <c r="D370" s="323">
        <f>(C370-(SIN(RADIANS(M346))*N339)-(COS(RADIANS(M346))*O339))*PI()/MEDIAN(U339:V343,P339:Q343)</f>
        <v>-4.7123889803846897</v>
      </c>
      <c r="E370" s="323" t="e">
        <f>(C370*PI()-N370*(G370+C342))/PI()</f>
        <v>#N/A</v>
      </c>
      <c r="F370" s="323" t="e">
        <f>E370-2*O339*COS(RADIANS(M346))</f>
        <v>#N/A</v>
      </c>
      <c r="G370" s="325" t="e">
        <f>ROUND(VLOOKUP(M370,R339:V343,4,FALSE),)</f>
        <v>#N/A</v>
      </c>
      <c r="H370" s="325" t="e">
        <f>ROUND(VLOOKUP(O370,M339:Q343,4,FALSE),)</f>
        <v>#N/A</v>
      </c>
      <c r="I370" s="325" t="e">
        <f>ROUND(VLOOKUP(O370,M339:Q343,5,FALSE),)</f>
        <v>#N/A</v>
      </c>
      <c r="J370" s="325" t="e">
        <f>ROUND(VLOOKUP(Q370,M339:Q343,4,FALSE),)</f>
        <v>#N/A</v>
      </c>
      <c r="K370" s="325" t="e">
        <f>ROUND(VLOOKUP(Q370,M339:Q343,5,FALSE),)</f>
        <v>#N/A</v>
      </c>
      <c r="L370" s="620">
        <f t="shared" si="59"/>
        <v>-1.5707963267948966</v>
      </c>
      <c r="M370" s="623">
        <f t="shared" si="63"/>
        <v>0</v>
      </c>
      <c r="N370" s="621" t="e">
        <f>ROUND(HLOOKUP(M370,N345:R346,2,FALSE),)</f>
        <v>#N/A</v>
      </c>
      <c r="O370" s="623">
        <f t="shared" si="64"/>
        <v>0</v>
      </c>
      <c r="P370" s="622" t="e">
        <f>PI()*(F370*(J370+C342)-E370*(K370+C342))/(((J370+C342)*(I370+C342))-((H370+C342)*(K370+C342)))</f>
        <v>#N/A</v>
      </c>
      <c r="Q370" s="623">
        <f t="shared" si="65"/>
        <v>0</v>
      </c>
      <c r="R370" s="622" t="e">
        <f>(E370*PI()-P370*(H370+C342))/(J370+C342)</f>
        <v>#N/A</v>
      </c>
      <c r="S370" s="625">
        <f t="shared" si="66"/>
        <v>360</v>
      </c>
      <c r="T370" s="236" t="e">
        <f t="shared" si="60"/>
        <v>#N/A</v>
      </c>
      <c r="U370" s="195" t="e">
        <f t="shared" si="61"/>
        <v>#N/A</v>
      </c>
      <c r="V370" s="195" t="e">
        <f t="shared" si="62"/>
        <v>#N/A</v>
      </c>
      <c r="W370" s="185"/>
      <c r="X370" s="141"/>
      <c r="Z370" s="187"/>
      <c r="AA370" s="187"/>
    </row>
    <row r="371" spans="1:27" s="186" customFormat="1" ht="15" customHeight="1">
      <c r="A371" s="215"/>
      <c r="B371" s="168" t="s">
        <v>1044</v>
      </c>
      <c r="C371" s="298">
        <f>C370+2*SIN(RADIANS(M346))*(N339+C342)</f>
        <v>0</v>
      </c>
      <c r="D371" s="323">
        <f>(C371-(SIN(RADIANS(M346))*N339)-(COS(RADIANS(M346))*O339))*PI()/MEDIAN(U339:V343,P339:Q343)</f>
        <v>-4.7123889803846897</v>
      </c>
      <c r="E371" s="323" t="e">
        <f>(C371*PI()-N371*(G371+C342))/PI()</f>
        <v>#N/A</v>
      </c>
      <c r="F371" s="323" t="e">
        <f>E371-2*O339*COS(RADIANS(M346))</f>
        <v>#N/A</v>
      </c>
      <c r="G371" s="325" t="e">
        <f>ROUND(VLOOKUP(M371,R339:V343,4,FALSE),)</f>
        <v>#N/A</v>
      </c>
      <c r="H371" s="325" t="e">
        <f>ROUND(VLOOKUP(O371,M339:Q343,4,FALSE),)</f>
        <v>#N/A</v>
      </c>
      <c r="I371" s="325" t="e">
        <f>ROUND(VLOOKUP(O371,M339:Q343,5,FALSE),)</f>
        <v>#N/A</v>
      </c>
      <c r="J371" s="325" t="e">
        <f>ROUND(VLOOKUP(Q371,M339:Q343,4,FALSE),)</f>
        <v>#N/A</v>
      </c>
      <c r="K371" s="325" t="e">
        <f>ROUND(VLOOKUP(Q371,M339:Q343,5,FALSE),)</f>
        <v>#N/A</v>
      </c>
      <c r="L371" s="620">
        <f t="shared" si="59"/>
        <v>-1.5707963267948966</v>
      </c>
      <c r="M371" s="623">
        <f t="shared" si="63"/>
        <v>0</v>
      </c>
      <c r="N371" s="621" t="e">
        <f>ROUND(HLOOKUP(M371,N345:R346,2,FALSE),)</f>
        <v>#N/A</v>
      </c>
      <c r="O371" s="623">
        <f t="shared" si="64"/>
        <v>0</v>
      </c>
      <c r="P371" s="622" t="e">
        <f>PI()*(F371*(J371+C342)-E371*(K371+C342))/(((J371+C342)*(I371+C342))-((H371+C342)*(K371+C342)))</f>
        <v>#N/A</v>
      </c>
      <c r="Q371" s="623">
        <f t="shared" si="65"/>
        <v>0</v>
      </c>
      <c r="R371" s="622" t="e">
        <f>(E371*PI()-P371*(H371+C342))/(J371+C342)</f>
        <v>#N/A</v>
      </c>
      <c r="S371" s="625">
        <f t="shared" si="66"/>
        <v>360</v>
      </c>
      <c r="T371" s="236" t="e">
        <f t="shared" si="60"/>
        <v>#N/A</v>
      </c>
      <c r="U371" s="195" t="e">
        <f t="shared" si="61"/>
        <v>#N/A</v>
      </c>
      <c r="V371" s="195" t="e">
        <f t="shared" si="62"/>
        <v>#N/A</v>
      </c>
      <c r="W371" s="185"/>
      <c r="X371" s="141"/>
      <c r="Z371" s="187"/>
      <c r="AA371" s="187"/>
    </row>
    <row r="372" spans="1:27" s="186" customFormat="1" ht="15" customHeight="1">
      <c r="A372" s="215"/>
      <c r="B372" s="168" t="s">
        <v>1045</v>
      </c>
      <c r="C372" s="298">
        <f>C371+2*SIN(RADIANS(M346))*(N339+C342)</f>
        <v>0</v>
      </c>
      <c r="D372" s="323">
        <f>(C372-(SIN(RADIANS(M346))*N339)-(COS(RADIANS(M346))*O339))*PI()/MEDIAN(U339:V343,P339:Q343)</f>
        <v>-4.7123889803846897</v>
      </c>
      <c r="E372" s="323" t="e">
        <f>(C372*PI()-N372*(G372+C342))/PI()</f>
        <v>#N/A</v>
      </c>
      <c r="F372" s="323" t="e">
        <f>E372-2*O339*COS(RADIANS(M346))</f>
        <v>#N/A</v>
      </c>
      <c r="G372" s="325" t="e">
        <f>ROUND(VLOOKUP(M372,R339:V343,4,FALSE),)</f>
        <v>#N/A</v>
      </c>
      <c r="H372" s="325" t="e">
        <f>ROUND(VLOOKUP(O372,M339:Q343,4,FALSE),)</f>
        <v>#N/A</v>
      </c>
      <c r="I372" s="325" t="e">
        <f>ROUND(VLOOKUP(O372,M339:Q343,5,FALSE),)</f>
        <v>#N/A</v>
      </c>
      <c r="J372" s="325" t="e">
        <f>ROUND(VLOOKUP(Q372,M339:Q343,4,FALSE),)</f>
        <v>#N/A</v>
      </c>
      <c r="K372" s="325" t="e">
        <f>ROUND(VLOOKUP(Q372,M339:Q343,5,FALSE),)</f>
        <v>#N/A</v>
      </c>
      <c r="L372" s="620">
        <f t="shared" si="59"/>
        <v>-1.5707963267948966</v>
      </c>
      <c r="M372" s="623">
        <f t="shared" si="63"/>
        <v>0</v>
      </c>
      <c r="N372" s="621" t="e">
        <f>ROUND(HLOOKUP(M372,N345:R346,2,FALSE),)</f>
        <v>#N/A</v>
      </c>
      <c r="O372" s="623">
        <f t="shared" si="64"/>
        <v>0</v>
      </c>
      <c r="P372" s="622" t="e">
        <f>PI()*(F372*(J372+C342)-E372*(K372+C342))/(((J372+C342)*(I372+C342))-((H372+C342)*(K372+C342)))</f>
        <v>#N/A</v>
      </c>
      <c r="Q372" s="623">
        <f t="shared" si="65"/>
        <v>0</v>
      </c>
      <c r="R372" s="622" t="e">
        <f>(E372*PI()-P372*(H372+C342))/(J372+C342)</f>
        <v>#N/A</v>
      </c>
      <c r="S372" s="625">
        <f t="shared" si="66"/>
        <v>360</v>
      </c>
      <c r="T372" s="236" t="e">
        <f t="shared" si="60"/>
        <v>#N/A</v>
      </c>
      <c r="U372" s="195" t="e">
        <f t="shared" si="61"/>
        <v>#N/A</v>
      </c>
      <c r="V372" s="195" t="e">
        <f t="shared" si="62"/>
        <v>#N/A</v>
      </c>
      <c r="W372" s="185"/>
      <c r="X372" s="141"/>
      <c r="Z372" s="187"/>
      <c r="AA372" s="187"/>
    </row>
    <row r="373" spans="1:27" s="186" customFormat="1" ht="15" customHeight="1">
      <c r="A373" s="215"/>
      <c r="B373" s="168" t="s">
        <v>1046</v>
      </c>
      <c r="C373" s="298">
        <f>C372+2*SIN(RADIANS(M346))*(N339+C342)</f>
        <v>0</v>
      </c>
      <c r="D373" s="323">
        <f>(C373-(SIN(RADIANS(M346))*N339)-(COS(RADIANS(M346))*O339))*PI()/MEDIAN(U339:V343,P339:Q343)</f>
        <v>-4.7123889803846897</v>
      </c>
      <c r="E373" s="323" t="e">
        <f>(C373*PI()-N373*(G373+C342))/PI()</f>
        <v>#N/A</v>
      </c>
      <c r="F373" s="323" t="e">
        <f>E373-2*O339*COS(RADIANS(M346))</f>
        <v>#N/A</v>
      </c>
      <c r="G373" s="325" t="e">
        <f>ROUND(VLOOKUP(M373,R339:V343,4,FALSE),)</f>
        <v>#N/A</v>
      </c>
      <c r="H373" s="325" t="e">
        <f>ROUND(VLOOKUP(O373,M339:Q343,4,FALSE),)</f>
        <v>#N/A</v>
      </c>
      <c r="I373" s="325" t="e">
        <f>ROUND(VLOOKUP(O373,M339:Q343,5,FALSE),)</f>
        <v>#N/A</v>
      </c>
      <c r="J373" s="325" t="e">
        <f>ROUND(VLOOKUP(Q373,M339:Q343,4,FALSE),)</f>
        <v>#N/A</v>
      </c>
      <c r="K373" s="325" t="e">
        <f>ROUND(VLOOKUP(Q373,M339:Q343,5,FALSE),)</f>
        <v>#N/A</v>
      </c>
      <c r="L373" s="620">
        <f t="shared" si="59"/>
        <v>-1.5707963267948966</v>
      </c>
      <c r="M373" s="623">
        <f t="shared" si="63"/>
        <v>0</v>
      </c>
      <c r="N373" s="621" t="e">
        <f>ROUND(HLOOKUP(M373,N345:R346,2,FALSE),)</f>
        <v>#N/A</v>
      </c>
      <c r="O373" s="623">
        <f t="shared" si="64"/>
        <v>0</v>
      </c>
      <c r="P373" s="622" t="e">
        <f>PI()*(F373*(J373+C342)-E373*(K373+C342))/(((J373+C342)*(I373+C342))-((H373+C342)*(K373+C342)))</f>
        <v>#N/A</v>
      </c>
      <c r="Q373" s="623">
        <f t="shared" si="65"/>
        <v>0</v>
      </c>
      <c r="R373" s="622" t="e">
        <f>(E373*PI()-P373*(H373+C342))/(J373+C342)</f>
        <v>#N/A</v>
      </c>
      <c r="S373" s="625">
        <f t="shared" si="66"/>
        <v>360</v>
      </c>
      <c r="T373" s="236" t="e">
        <f t="shared" si="60"/>
        <v>#N/A</v>
      </c>
      <c r="U373" s="195" t="e">
        <f t="shared" si="61"/>
        <v>#N/A</v>
      </c>
      <c r="V373" s="195" t="e">
        <f t="shared" si="62"/>
        <v>#N/A</v>
      </c>
      <c r="W373" s="185"/>
      <c r="X373" s="141"/>
      <c r="Z373" s="187"/>
      <c r="AA373" s="187"/>
    </row>
    <row r="374" spans="1:27" s="186" customFormat="1" ht="15" customHeight="1">
      <c r="A374" s="215"/>
      <c r="B374" s="168" t="s">
        <v>1047</v>
      </c>
      <c r="C374" s="298">
        <f>C373+2*SIN(RADIANS(M346))*(N339+C342)</f>
        <v>0</v>
      </c>
      <c r="D374" s="323">
        <f>(C374-(SIN(RADIANS(M346))*N339)-(COS(RADIANS(M346))*O339))*PI()/MEDIAN(U339:V343,P339:Q343)</f>
        <v>-4.7123889803846897</v>
      </c>
      <c r="E374" s="323" t="e">
        <f>(C374*PI()-N374*(G374+C342))/PI()</f>
        <v>#N/A</v>
      </c>
      <c r="F374" s="323" t="e">
        <f>E374-2*O339*COS(RADIANS(M346))</f>
        <v>#N/A</v>
      </c>
      <c r="G374" s="325" t="e">
        <f>ROUND(VLOOKUP(M374,R339:V343,4,FALSE),)</f>
        <v>#N/A</v>
      </c>
      <c r="H374" s="325" t="e">
        <f>ROUND(VLOOKUP(O374,M339:Q343,4,FALSE),)</f>
        <v>#N/A</v>
      </c>
      <c r="I374" s="325" t="e">
        <f>ROUND(VLOOKUP(O374,M339:Q343,5,FALSE),)</f>
        <v>#N/A</v>
      </c>
      <c r="J374" s="325" t="e">
        <f>ROUND(VLOOKUP(Q374,M339:Q343,4,FALSE),)</f>
        <v>#N/A</v>
      </c>
      <c r="K374" s="325" t="e">
        <f>ROUND(VLOOKUP(Q374,M339:Q343,5,FALSE),)</f>
        <v>#N/A</v>
      </c>
      <c r="L374" s="620">
        <f t="shared" si="59"/>
        <v>-1.5707963267948966</v>
      </c>
      <c r="M374" s="623">
        <f t="shared" si="63"/>
        <v>0</v>
      </c>
      <c r="N374" s="621" t="e">
        <f>ROUND(HLOOKUP(M374,N345:R346,2,FALSE),)</f>
        <v>#N/A</v>
      </c>
      <c r="O374" s="623">
        <f t="shared" si="64"/>
        <v>0</v>
      </c>
      <c r="P374" s="622" t="e">
        <f>PI()*(F374*(J374+C342)-E374*(K374+C342))/(((J374+C342)*(I374+C342))-((H374+C342)*(K374+C342)))</f>
        <v>#N/A</v>
      </c>
      <c r="Q374" s="623">
        <f t="shared" si="65"/>
        <v>0</v>
      </c>
      <c r="R374" s="622" t="e">
        <f>(E374*PI()-P374*(H374+C342))/(J374+C342)</f>
        <v>#N/A</v>
      </c>
      <c r="S374" s="625">
        <f t="shared" si="66"/>
        <v>360</v>
      </c>
      <c r="T374" s="236" t="e">
        <f t="shared" si="60"/>
        <v>#N/A</v>
      </c>
      <c r="U374" s="195" t="e">
        <f t="shared" si="61"/>
        <v>#N/A</v>
      </c>
      <c r="V374" s="195" t="e">
        <f t="shared" si="62"/>
        <v>#N/A</v>
      </c>
      <c r="W374" s="185"/>
      <c r="X374" s="141"/>
      <c r="Z374" s="187"/>
      <c r="AA374" s="187"/>
    </row>
    <row r="375" spans="1:27" s="186" customFormat="1" ht="15" customHeight="1">
      <c r="A375" s="215"/>
      <c r="B375" s="168" t="s">
        <v>1048</v>
      </c>
      <c r="C375" s="298">
        <f>C374+2*SIN(RADIANS(M346))*(N339+C342)</f>
        <v>0</v>
      </c>
      <c r="D375" s="323">
        <f>(C375-(SIN(RADIANS(M346))*N339)-(COS(RADIANS(M346))*O339))*PI()/MEDIAN(U339:V343,P339:Q343)</f>
        <v>-4.7123889803846897</v>
      </c>
      <c r="E375" s="323" t="e">
        <f>(C375*PI()-N375*(G375+C342))/PI()</f>
        <v>#N/A</v>
      </c>
      <c r="F375" s="323" t="e">
        <f>E375-2*O339*COS(RADIANS(M346))</f>
        <v>#N/A</v>
      </c>
      <c r="G375" s="325" t="e">
        <f>ROUND(VLOOKUP(M375,R339:V343,4,FALSE),)</f>
        <v>#N/A</v>
      </c>
      <c r="H375" s="325" t="e">
        <f>ROUND(VLOOKUP(O375,M339:Q343,4,FALSE),)</f>
        <v>#N/A</v>
      </c>
      <c r="I375" s="325" t="e">
        <f>ROUND(VLOOKUP(O375,M339:Q343,5,FALSE),)</f>
        <v>#N/A</v>
      </c>
      <c r="J375" s="325" t="e">
        <f>ROUND(VLOOKUP(Q375,M339:Q343,4,FALSE),)</f>
        <v>#N/A</v>
      </c>
      <c r="K375" s="325" t="e">
        <f>ROUND(VLOOKUP(Q375,M339:Q343,5,FALSE),)</f>
        <v>#N/A</v>
      </c>
      <c r="L375" s="620">
        <f t="shared" si="59"/>
        <v>-1.5707963267948966</v>
      </c>
      <c r="M375" s="623">
        <f t="shared" si="63"/>
        <v>0</v>
      </c>
      <c r="N375" s="621" t="e">
        <f>ROUND(HLOOKUP(M375,N345:R346,2,FALSE),)</f>
        <v>#N/A</v>
      </c>
      <c r="O375" s="623">
        <f t="shared" si="64"/>
        <v>0</v>
      </c>
      <c r="P375" s="622" t="e">
        <f>PI()*(F375*(J375+C342)-E375*(K375+C342))/(((J375+C342)*(I375+C342))-((H375+C342)*(K375+C342)))</f>
        <v>#N/A</v>
      </c>
      <c r="Q375" s="623">
        <f t="shared" si="65"/>
        <v>0</v>
      </c>
      <c r="R375" s="622" t="e">
        <f>(E375*PI()-P375*(H375+C342))/(J375+C342)</f>
        <v>#N/A</v>
      </c>
      <c r="S375" s="625">
        <f t="shared" si="66"/>
        <v>360</v>
      </c>
      <c r="T375" s="236" t="e">
        <f t="shared" si="60"/>
        <v>#N/A</v>
      </c>
      <c r="U375" s="195" t="e">
        <f t="shared" si="61"/>
        <v>#N/A</v>
      </c>
      <c r="V375" s="195" t="e">
        <f t="shared" si="62"/>
        <v>#N/A</v>
      </c>
      <c r="W375" s="185"/>
      <c r="X375" s="141"/>
      <c r="Z375" s="187"/>
      <c r="AA375" s="187"/>
    </row>
    <row r="376" spans="1:27" s="186" customFormat="1" ht="15" customHeight="1">
      <c r="A376" s="215"/>
      <c r="B376" s="168" t="s">
        <v>1049</v>
      </c>
      <c r="C376" s="298">
        <f>C375+2*SIN(RADIANS(M346))*(N339+C342)</f>
        <v>0</v>
      </c>
      <c r="D376" s="323">
        <f>(C376-(SIN(RADIANS(M346))*N339)-(COS(RADIANS(M346))*O339))*PI()/MEDIAN(U339:V343,P339:Q343)</f>
        <v>-4.7123889803846897</v>
      </c>
      <c r="E376" s="323" t="e">
        <f>(C376*PI()-N376*(G376+C342))/PI()</f>
        <v>#N/A</v>
      </c>
      <c r="F376" s="323" t="e">
        <f>E376-2*O339*COS(RADIANS(M346))</f>
        <v>#N/A</v>
      </c>
      <c r="G376" s="325" t="e">
        <f>ROUND(VLOOKUP(M376,R339:V343,4,FALSE),)</f>
        <v>#N/A</v>
      </c>
      <c r="H376" s="325" t="e">
        <f>ROUND(VLOOKUP(O376,M339:Q343,4,FALSE),)</f>
        <v>#N/A</v>
      </c>
      <c r="I376" s="325" t="e">
        <f>ROUND(VLOOKUP(O376,M339:Q343,5,FALSE),)</f>
        <v>#N/A</v>
      </c>
      <c r="J376" s="325" t="e">
        <f>ROUND(VLOOKUP(Q376,M339:Q343,4,FALSE),)</f>
        <v>#N/A</v>
      </c>
      <c r="K376" s="325" t="e">
        <f>ROUND(VLOOKUP(Q376,M339:Q343,5,FALSE),)</f>
        <v>#N/A</v>
      </c>
      <c r="L376" s="620">
        <f t="shared" si="59"/>
        <v>-1.5707963267948966</v>
      </c>
      <c r="M376" s="623">
        <f t="shared" si="63"/>
        <v>0</v>
      </c>
      <c r="N376" s="621" t="e">
        <f>ROUND(HLOOKUP(M376,N345:R346,2,FALSE),)</f>
        <v>#N/A</v>
      </c>
      <c r="O376" s="623">
        <f t="shared" si="64"/>
        <v>0</v>
      </c>
      <c r="P376" s="622" t="e">
        <f t="shared" ref="P376" si="67">PI()*(F376*(J376+$C$342)-E376*(K376+$C$342))/(((J376+$C$342)*(I376+$C$342))-((H376+$C$342)*(K376+$C$342)))</f>
        <v>#N/A</v>
      </c>
      <c r="Q376" s="623">
        <f t="shared" si="65"/>
        <v>0</v>
      </c>
      <c r="R376" s="622" t="e">
        <f>(E376*PI()-P376*(H376+C342))/(J376+C342)</f>
        <v>#N/A</v>
      </c>
      <c r="S376" s="625">
        <f t="shared" si="66"/>
        <v>360</v>
      </c>
      <c r="T376" s="236" t="e">
        <f t="shared" si="60"/>
        <v>#N/A</v>
      </c>
      <c r="U376" s="195" t="e">
        <f t="shared" si="61"/>
        <v>#N/A</v>
      </c>
      <c r="V376" s="195" t="e">
        <f t="shared" si="62"/>
        <v>#N/A</v>
      </c>
      <c r="W376" s="185"/>
      <c r="X376" s="141"/>
      <c r="Z376" s="187"/>
      <c r="AA376" s="187"/>
    </row>
    <row r="377" spans="1:27" s="186" customFormat="1" ht="15" customHeight="1">
      <c r="A377" s="215"/>
      <c r="B377" s="168" t="s">
        <v>1050</v>
      </c>
      <c r="C377" s="298">
        <f>C376+2*SIN(RADIANS(M346))*(N339+C342)</f>
        <v>0</v>
      </c>
      <c r="D377" s="323">
        <f>(C377-(SIN(RADIANS(M346))*N339)-(COS(RADIANS(M346))*O339))*PI()/MEDIAN(U339:V343,P339:Q343)</f>
        <v>-4.7123889803846897</v>
      </c>
      <c r="E377" s="323" t="e">
        <f>(C377*PI()-N377*(G377+C342))/PI()</f>
        <v>#N/A</v>
      </c>
      <c r="F377" s="323" t="e">
        <f>E377-2*O339*COS(RADIANS(M346))</f>
        <v>#N/A</v>
      </c>
      <c r="G377" s="325" t="e">
        <f>ROUND(VLOOKUP(M377,R339:V343,4,FALSE),)</f>
        <v>#N/A</v>
      </c>
      <c r="H377" s="325" t="e">
        <f>ROUND(VLOOKUP(O377,M339:Q343,4,FALSE),)</f>
        <v>#N/A</v>
      </c>
      <c r="I377" s="325" t="e">
        <f>ROUND(VLOOKUP(O377,M339:Q343,5,FALSE),)</f>
        <v>#N/A</v>
      </c>
      <c r="J377" s="325" t="e">
        <f>ROUND(VLOOKUP(Q377,M339:Q343,4,FALSE),)</f>
        <v>#N/A</v>
      </c>
      <c r="K377" s="325" t="e">
        <f>ROUND(VLOOKUP(Q377,M339:Q343,5,FALSE),)</f>
        <v>#N/A</v>
      </c>
      <c r="L377" s="620">
        <f t="shared" si="59"/>
        <v>-1.5707963267948966</v>
      </c>
      <c r="M377" s="623">
        <f t="shared" si="63"/>
        <v>0</v>
      </c>
      <c r="N377" s="621" t="e">
        <f>ROUND(HLOOKUP(M377,N345:R346,2,FALSE),)</f>
        <v>#N/A</v>
      </c>
      <c r="O377" s="623">
        <f t="shared" si="64"/>
        <v>0</v>
      </c>
      <c r="P377" s="622" t="e">
        <f>PI()*(F377*(J377+C342)-E377*(K377+C342))/(((J377+C342)*(I377+C342))-((H377+C342)*(K377+C342)))</f>
        <v>#N/A</v>
      </c>
      <c r="Q377" s="623">
        <f t="shared" si="65"/>
        <v>0</v>
      </c>
      <c r="R377" s="622" t="e">
        <f>(E377*PI()-P377*(H377+C342))/(J377+C342)</f>
        <v>#N/A</v>
      </c>
      <c r="S377" s="625">
        <f t="shared" si="66"/>
        <v>360</v>
      </c>
      <c r="T377" s="236" t="e">
        <f t="shared" si="60"/>
        <v>#N/A</v>
      </c>
      <c r="U377" s="195" t="e">
        <f t="shared" si="61"/>
        <v>#N/A</v>
      </c>
      <c r="V377" s="195" t="e">
        <f t="shared" si="62"/>
        <v>#N/A</v>
      </c>
      <c r="W377" s="185"/>
      <c r="X377" s="141"/>
      <c r="Z377" s="187"/>
      <c r="AA377" s="187"/>
    </row>
    <row r="378" spans="1:27" s="186" customFormat="1" ht="15" customHeight="1">
      <c r="A378" s="215"/>
      <c r="B378" s="168" t="s">
        <v>1051</v>
      </c>
      <c r="C378" s="298">
        <f>C377+2*SIN(RADIANS(M346))*(N339+C342)</f>
        <v>0</v>
      </c>
      <c r="D378" s="323">
        <f>(C378-(SIN(RADIANS(M346))*N339)-(COS(RADIANS(M346))*O339))*PI()/MEDIAN(U339:V343,P339:Q343)</f>
        <v>-4.7123889803846897</v>
      </c>
      <c r="E378" s="323" t="e">
        <f>(C378*PI()-N378*(G378+C342))/PI()</f>
        <v>#N/A</v>
      </c>
      <c r="F378" s="323" t="e">
        <f>E378-2*O339*COS(RADIANS(M346))</f>
        <v>#N/A</v>
      </c>
      <c r="G378" s="325" t="e">
        <f>ROUND(VLOOKUP(M378,R339:V343,4,FALSE),)</f>
        <v>#N/A</v>
      </c>
      <c r="H378" s="325" t="e">
        <f>ROUND(VLOOKUP(O378,M339:Q343,4,FALSE),)</f>
        <v>#N/A</v>
      </c>
      <c r="I378" s="325" t="e">
        <f>ROUND(VLOOKUP(O378,M339:Q343,5,FALSE),)</f>
        <v>#N/A</v>
      </c>
      <c r="J378" s="325" t="e">
        <f>ROUND(VLOOKUP(Q378,M339:Q343,4,FALSE),)</f>
        <v>#N/A</v>
      </c>
      <c r="K378" s="325" t="e">
        <f>ROUND(VLOOKUP(Q378,M339:Q343,5,FALSE),)</f>
        <v>#N/A</v>
      </c>
      <c r="L378" s="620">
        <f t="shared" si="59"/>
        <v>-1.5707963267948966</v>
      </c>
      <c r="M378" s="623">
        <f t="shared" si="63"/>
        <v>0</v>
      </c>
      <c r="N378" s="621" t="e">
        <f>ROUND(HLOOKUP(M378,N345:R346,2,FALSE),)</f>
        <v>#N/A</v>
      </c>
      <c r="O378" s="623">
        <f t="shared" si="64"/>
        <v>0</v>
      </c>
      <c r="P378" s="622" t="e">
        <f>PI()*(F378*(J378+C342)-E378*(K378+C342))/(((J378+C342)*(I378+C342))-((H378+C342)*(K378+C342)))</f>
        <v>#N/A</v>
      </c>
      <c r="Q378" s="623">
        <f t="shared" si="65"/>
        <v>0</v>
      </c>
      <c r="R378" s="622" t="e">
        <f>(E378*PI()-P378*(H378+C342))/(J378+C342)</f>
        <v>#N/A</v>
      </c>
      <c r="S378" s="625">
        <f t="shared" si="66"/>
        <v>360</v>
      </c>
      <c r="T378" s="236" t="e">
        <f t="shared" si="60"/>
        <v>#N/A</v>
      </c>
      <c r="U378" s="195" t="e">
        <f t="shared" si="61"/>
        <v>#N/A</v>
      </c>
      <c r="V378" s="195" t="e">
        <f t="shared" si="62"/>
        <v>#N/A</v>
      </c>
      <c r="W378" s="185"/>
      <c r="X378" s="141"/>
      <c r="Z378" s="187"/>
      <c r="AA378" s="187"/>
    </row>
    <row r="379" spans="1:27" s="186" customFormat="1" ht="15" customHeight="1">
      <c r="A379" s="215"/>
      <c r="B379" s="168" t="s">
        <v>1052</v>
      </c>
      <c r="C379" s="298">
        <f>C378+2*SIN(RADIANS(M346))*(N339+C342)</f>
        <v>0</v>
      </c>
      <c r="D379" s="323">
        <f>(C379-(SIN(RADIANS(M346))*N339)-(COS(RADIANS(M346))*O339))*PI()/MEDIAN(U339:V343,P339:Q343)</f>
        <v>-4.7123889803846897</v>
      </c>
      <c r="E379" s="323" t="e">
        <f>(C379*PI()-N379*(G379+C342))/PI()</f>
        <v>#N/A</v>
      </c>
      <c r="F379" s="323" t="e">
        <f>E379-2*O339*COS(RADIANS(M346))</f>
        <v>#N/A</v>
      </c>
      <c r="G379" s="325" t="e">
        <f>ROUND(VLOOKUP(M379,R339:V343,4,FALSE),)</f>
        <v>#N/A</v>
      </c>
      <c r="H379" s="325" t="e">
        <f>ROUND(VLOOKUP(O379,M339:Q343,4,FALSE),)</f>
        <v>#N/A</v>
      </c>
      <c r="I379" s="325" t="e">
        <f>ROUND(VLOOKUP(O379,M339:Q343,5,FALSE),)</f>
        <v>#N/A</v>
      </c>
      <c r="J379" s="325" t="e">
        <f>ROUND(VLOOKUP(Q379,M339:Q343,4,FALSE),)</f>
        <v>#N/A</v>
      </c>
      <c r="K379" s="325" t="e">
        <f>ROUND(VLOOKUP(Q379,M339:Q343,5,FALSE),)</f>
        <v>#N/A</v>
      </c>
      <c r="L379" s="620">
        <f t="shared" si="59"/>
        <v>-1.5707963267948966</v>
      </c>
      <c r="M379" s="623">
        <f t="shared" si="63"/>
        <v>0</v>
      </c>
      <c r="N379" s="621" t="e">
        <f>ROUND(HLOOKUP(M379,N345:R346,2,FALSE),)</f>
        <v>#N/A</v>
      </c>
      <c r="O379" s="623">
        <f t="shared" si="64"/>
        <v>0</v>
      </c>
      <c r="P379" s="622" t="e">
        <f>PI()*(F379*(J379+C342)-E379*(K379+C342))/(((J379+C342)*(I379+C342))-((H379+C342)*(K379+C342)))</f>
        <v>#N/A</v>
      </c>
      <c r="Q379" s="623">
        <f t="shared" si="65"/>
        <v>0</v>
      </c>
      <c r="R379" s="622" t="e">
        <f>(E379*PI()-P379*(H379+C342))/(J379+C342)</f>
        <v>#N/A</v>
      </c>
      <c r="S379" s="625">
        <f t="shared" si="66"/>
        <v>360</v>
      </c>
      <c r="T379" s="236" t="e">
        <f t="shared" si="60"/>
        <v>#N/A</v>
      </c>
      <c r="U379" s="195" t="e">
        <f t="shared" si="61"/>
        <v>#N/A</v>
      </c>
      <c r="V379" s="195" t="e">
        <f t="shared" si="62"/>
        <v>#N/A</v>
      </c>
      <c r="W379" s="185"/>
      <c r="X379" s="141"/>
      <c r="Z379" s="187"/>
      <c r="AA379" s="187"/>
    </row>
    <row r="380" spans="1:27" s="186" customFormat="1" ht="15" customHeight="1">
      <c r="A380" s="215"/>
      <c r="B380" s="168" t="s">
        <v>1053</v>
      </c>
      <c r="C380" s="298">
        <f>C379+2*SIN(RADIANS(M346))*(N339+C342)</f>
        <v>0</v>
      </c>
      <c r="D380" s="323">
        <f>(C380-(SIN(RADIANS(M346))*N339)-(COS(RADIANS(M346))*O339))*PI()/MEDIAN(U339:V343,P339:Q343)</f>
        <v>-4.7123889803846897</v>
      </c>
      <c r="E380" s="323" t="e">
        <f>(C380*PI()-N380*(G380+C342))/PI()</f>
        <v>#N/A</v>
      </c>
      <c r="F380" s="323" t="e">
        <f>E380-2*O339*COS(RADIANS(M346))</f>
        <v>#N/A</v>
      </c>
      <c r="G380" s="325" t="e">
        <f>ROUND(VLOOKUP(M380,R339:V343,4,FALSE),)</f>
        <v>#N/A</v>
      </c>
      <c r="H380" s="325" t="e">
        <f>ROUND(VLOOKUP(O380,M339:Q343,4,FALSE),)</f>
        <v>#N/A</v>
      </c>
      <c r="I380" s="325" t="e">
        <f>ROUND(VLOOKUP(O380,M339:Q343,5,FALSE),)</f>
        <v>#N/A</v>
      </c>
      <c r="J380" s="325" t="e">
        <f>ROUND(VLOOKUP(Q380,M339:Q343,4,FALSE),)</f>
        <v>#N/A</v>
      </c>
      <c r="K380" s="325" t="e">
        <f>ROUND(VLOOKUP(Q380,M339:Q343,5,FALSE),)</f>
        <v>#N/A</v>
      </c>
      <c r="L380" s="620">
        <f t="shared" si="59"/>
        <v>-1.5707963267948966</v>
      </c>
      <c r="M380" s="623">
        <f t="shared" si="63"/>
        <v>0</v>
      </c>
      <c r="N380" s="621" t="e">
        <f>ROUND(HLOOKUP(M380,N345:R346,2,FALSE),)</f>
        <v>#N/A</v>
      </c>
      <c r="O380" s="623">
        <f t="shared" si="64"/>
        <v>0</v>
      </c>
      <c r="P380" s="622" t="e">
        <f>PI()*(F380*(J380+C342)-E380*(K380+C342))/(((J380+C342)*(I380+C342))-((H380+C342)*(K380+C342)))</f>
        <v>#N/A</v>
      </c>
      <c r="Q380" s="623">
        <f t="shared" si="65"/>
        <v>0</v>
      </c>
      <c r="R380" s="622" t="e">
        <f>(E380*PI()-P380*(H380+C342))/(J380+C342)</f>
        <v>#N/A</v>
      </c>
      <c r="S380" s="625">
        <f t="shared" si="66"/>
        <v>360</v>
      </c>
      <c r="T380" s="236" t="e">
        <f t="shared" si="60"/>
        <v>#N/A</v>
      </c>
      <c r="U380" s="195" t="e">
        <f t="shared" si="61"/>
        <v>#N/A</v>
      </c>
      <c r="V380" s="195" t="e">
        <f t="shared" si="62"/>
        <v>#N/A</v>
      </c>
      <c r="W380" s="185"/>
      <c r="X380" s="141"/>
      <c r="Z380" s="187"/>
      <c r="AA380" s="187"/>
    </row>
    <row r="381" spans="1:27" s="186" customFormat="1" ht="15" customHeight="1">
      <c r="A381" s="215"/>
      <c r="B381" s="168" t="s">
        <v>1054</v>
      </c>
      <c r="C381" s="298">
        <f>C380+2*SIN(RADIANS(M346))*(N339+C342)</f>
        <v>0</v>
      </c>
      <c r="D381" s="323">
        <f>(C381-(SIN(RADIANS(M346))*N339)-(COS(RADIANS(M346))*O339))*PI()/MEDIAN(U339:V343,P339:Q343)</f>
        <v>-4.7123889803846897</v>
      </c>
      <c r="E381" s="323" t="e">
        <f>(C381*PI()-N381*(G381+C342))/PI()</f>
        <v>#N/A</v>
      </c>
      <c r="F381" s="323" t="e">
        <f>E381-2*O339*COS(RADIANS(M346))</f>
        <v>#N/A</v>
      </c>
      <c r="G381" s="325" t="e">
        <f>ROUND(VLOOKUP(M381,R339:V343,4,FALSE),)</f>
        <v>#N/A</v>
      </c>
      <c r="H381" s="325" t="e">
        <f>ROUND(VLOOKUP(O381,M339:Q343,4,FALSE),)</f>
        <v>#N/A</v>
      </c>
      <c r="I381" s="325" t="e">
        <f>ROUND(VLOOKUP(O381,M339:Q343,5,FALSE),)</f>
        <v>#N/A</v>
      </c>
      <c r="J381" s="325" t="e">
        <f>ROUND(VLOOKUP(Q381,M339:Q343,4,FALSE),)</f>
        <v>#N/A</v>
      </c>
      <c r="K381" s="325" t="e">
        <f>ROUND(VLOOKUP(Q381,M339:Q343,5,FALSE),)</f>
        <v>#N/A</v>
      </c>
      <c r="L381" s="620">
        <f t="shared" si="59"/>
        <v>-1.5707963267948966</v>
      </c>
      <c r="M381" s="623">
        <f t="shared" si="63"/>
        <v>0</v>
      </c>
      <c r="N381" s="621" t="e">
        <f>ROUND(HLOOKUP(M381,N345:R346,2,FALSE),)</f>
        <v>#N/A</v>
      </c>
      <c r="O381" s="623">
        <f t="shared" si="64"/>
        <v>0</v>
      </c>
      <c r="P381" s="622" t="e">
        <f>PI()*(F381*(J381+C342)-E381*(K381+C342))/(((J381+C342)*(I381+C342))-((H381+C342)*(K381+C342)))</f>
        <v>#N/A</v>
      </c>
      <c r="Q381" s="623">
        <f t="shared" si="65"/>
        <v>0</v>
      </c>
      <c r="R381" s="622" t="e">
        <f>(E381*PI()-P381*(H381+C342))/(J381+C342)</f>
        <v>#N/A</v>
      </c>
      <c r="S381" s="625">
        <f t="shared" si="66"/>
        <v>360</v>
      </c>
      <c r="T381" s="236" t="e">
        <f t="shared" si="60"/>
        <v>#N/A</v>
      </c>
      <c r="U381" s="195" t="e">
        <f t="shared" si="61"/>
        <v>#N/A</v>
      </c>
      <c r="V381" s="195" t="e">
        <f t="shared" si="62"/>
        <v>#N/A</v>
      </c>
      <c r="W381" s="185"/>
      <c r="X381" s="141"/>
      <c r="Z381" s="187"/>
      <c r="AA381" s="187"/>
    </row>
    <row r="382" spans="1:27" s="186" customFormat="1" ht="15" customHeight="1">
      <c r="A382" s="215"/>
      <c r="B382" s="168" t="s">
        <v>1055</v>
      </c>
      <c r="C382" s="298">
        <f>C381+2*SIN(RADIANS(M346))*(N339+C342)</f>
        <v>0</v>
      </c>
      <c r="D382" s="323">
        <f>(C382-(SIN(RADIANS(M346))*N339)-(COS(RADIANS(M346))*O339))*PI()/MEDIAN(U339:V343,P339:Q343)</f>
        <v>-4.7123889803846897</v>
      </c>
      <c r="E382" s="323" t="e">
        <f>(C382*PI()-N382*(G382+C342))/PI()</f>
        <v>#N/A</v>
      </c>
      <c r="F382" s="323" t="e">
        <f>E382-2*O339*COS(RADIANS(M346))</f>
        <v>#N/A</v>
      </c>
      <c r="G382" s="325" t="e">
        <f>ROUND(VLOOKUP(M382,R339:V343,4,FALSE),)</f>
        <v>#N/A</v>
      </c>
      <c r="H382" s="325" t="e">
        <f>ROUND(VLOOKUP(O382,M339:Q343,4,FALSE),)</f>
        <v>#N/A</v>
      </c>
      <c r="I382" s="325" t="e">
        <f>ROUND(VLOOKUP(O382,M339:Q343,5,FALSE),)</f>
        <v>#N/A</v>
      </c>
      <c r="J382" s="325" t="e">
        <f>ROUND(VLOOKUP(Q382,M339:Q343,4,FALSE),)</f>
        <v>#N/A</v>
      </c>
      <c r="K382" s="325" t="e">
        <f>ROUND(VLOOKUP(Q382,M339:Q343,5,FALSE),)</f>
        <v>#N/A</v>
      </c>
      <c r="L382" s="620">
        <f t="shared" si="59"/>
        <v>-1.5707963267948966</v>
      </c>
      <c r="M382" s="623">
        <f t="shared" si="63"/>
        <v>0</v>
      </c>
      <c r="N382" s="621" t="e">
        <f>ROUND(HLOOKUP(M382,N345:R346,2,FALSE),)</f>
        <v>#N/A</v>
      </c>
      <c r="O382" s="623">
        <f t="shared" si="64"/>
        <v>0</v>
      </c>
      <c r="P382" s="622" t="e">
        <f>PI()*(F382*(J382+C342)-E382*(K382+C342))/(((J382+C342)*(I382+C342))-((H382+C342)*(K382+C342)))</f>
        <v>#N/A</v>
      </c>
      <c r="Q382" s="623">
        <f t="shared" si="65"/>
        <v>0</v>
      </c>
      <c r="R382" s="622" t="e">
        <f>(E382*PI()-P382*(H382+C342))/(J382+C342)</f>
        <v>#N/A</v>
      </c>
      <c r="S382" s="625">
        <f t="shared" si="66"/>
        <v>360</v>
      </c>
      <c r="T382" s="236" t="e">
        <f t="shared" si="60"/>
        <v>#N/A</v>
      </c>
      <c r="U382" s="195" t="e">
        <f t="shared" si="61"/>
        <v>#N/A</v>
      </c>
      <c r="V382" s="195" t="e">
        <f t="shared" si="62"/>
        <v>#N/A</v>
      </c>
      <c r="W382" s="185"/>
      <c r="X382" s="141"/>
      <c r="Z382" s="187"/>
      <c r="AA382" s="187"/>
    </row>
    <row r="383" spans="1:27" s="186" customFormat="1" ht="15" customHeight="1">
      <c r="A383" s="215"/>
      <c r="B383" s="168" t="s">
        <v>1056</v>
      </c>
      <c r="C383" s="298">
        <f>C382+2*SIN(RADIANS(M346))*(N339+C342)</f>
        <v>0</v>
      </c>
      <c r="D383" s="323">
        <f>(C383-(SIN(RADIANS(M346))*N339)-(COS(RADIANS(M346))*O339))*PI()/MEDIAN(U339:V343,P339:Q343)</f>
        <v>-4.7123889803846897</v>
      </c>
      <c r="E383" s="323" t="e">
        <f>(C383*PI()-N383*(G383+C342))/PI()</f>
        <v>#N/A</v>
      </c>
      <c r="F383" s="323" t="e">
        <f>E383-2*O339*COS(RADIANS(M346))</f>
        <v>#N/A</v>
      </c>
      <c r="G383" s="325" t="e">
        <f>ROUND(VLOOKUP(M383,R339:V343,4,FALSE),)</f>
        <v>#N/A</v>
      </c>
      <c r="H383" s="325" t="e">
        <f>ROUND(VLOOKUP(O383,M339:Q343,4,FALSE),)</f>
        <v>#N/A</v>
      </c>
      <c r="I383" s="325" t="e">
        <f>ROUND(VLOOKUP(O383,M339:Q343,5,FALSE),)</f>
        <v>#N/A</v>
      </c>
      <c r="J383" s="325" t="e">
        <f>ROUND(VLOOKUP(Q383,M339:Q343,4,FALSE),)</f>
        <v>#N/A</v>
      </c>
      <c r="K383" s="325" t="e">
        <f>ROUND(VLOOKUP(Q383,M339:Q343,5,FALSE),)</f>
        <v>#N/A</v>
      </c>
      <c r="L383" s="620">
        <f t="shared" ref="L383:L400" si="68">D383/3</f>
        <v>-1.5707963267948966</v>
      </c>
      <c r="M383" s="623">
        <f t="shared" si="63"/>
        <v>0</v>
      </c>
      <c r="N383" s="621" t="e">
        <f>ROUND(HLOOKUP(M383,N345:R346,2,FALSE),)</f>
        <v>#N/A</v>
      </c>
      <c r="O383" s="623">
        <f t="shared" si="64"/>
        <v>0</v>
      </c>
      <c r="P383" s="622" t="e">
        <f>PI()*(F383*(J383+C342)-E383*(K383+C342))/(((J383+C342)*(I383+C342))-((H383+C342)*(K383+C342)))</f>
        <v>#N/A</v>
      </c>
      <c r="Q383" s="623">
        <f t="shared" si="65"/>
        <v>0</v>
      </c>
      <c r="R383" s="622" t="e">
        <f>(E383*PI()-P383*(H383+C342))/(J383+C342)</f>
        <v>#N/A</v>
      </c>
      <c r="S383" s="625">
        <f t="shared" si="66"/>
        <v>360</v>
      </c>
      <c r="T383" s="236" t="e">
        <f t="shared" ref="T383:T400" si="69">ROUND(N383/360*S383,)</f>
        <v>#N/A</v>
      </c>
      <c r="U383" s="195" t="e">
        <f t="shared" ref="U383:U400" si="70">ROUND(P383/360*S383,)</f>
        <v>#N/A</v>
      </c>
      <c r="V383" s="195" t="e">
        <f t="shared" ref="V383:V400" si="71">ROUND(R383/360*S383,)</f>
        <v>#N/A</v>
      </c>
      <c r="W383" s="185"/>
      <c r="X383" s="141"/>
      <c r="Z383" s="187"/>
      <c r="AA383" s="187"/>
    </row>
    <row r="384" spans="1:27" s="186" customFormat="1" ht="15" customHeight="1">
      <c r="A384" s="215"/>
      <c r="B384" s="168" t="s">
        <v>1057</v>
      </c>
      <c r="C384" s="298">
        <f>C383+2*SIN(RADIANS(M346))*(N339+C342)</f>
        <v>0</v>
      </c>
      <c r="D384" s="323">
        <f>(C384-(SIN(RADIANS(M346))*N339)-(COS(RADIANS(M346))*O339))*PI()/MEDIAN(U339:V343,P339:Q343)</f>
        <v>-4.7123889803846897</v>
      </c>
      <c r="E384" s="323" t="e">
        <f>(C384*PI()-N384*(G384+C342))/PI()</f>
        <v>#N/A</v>
      </c>
      <c r="F384" s="323" t="e">
        <f>E384-2*O339*COS(RADIANS(M346))</f>
        <v>#N/A</v>
      </c>
      <c r="G384" s="325" t="e">
        <f>ROUND(VLOOKUP(M384,R339:V343,4,FALSE),)</f>
        <v>#N/A</v>
      </c>
      <c r="H384" s="325" t="e">
        <f>ROUND(VLOOKUP(O384,M339:Q343,4,FALSE),)</f>
        <v>#N/A</v>
      </c>
      <c r="I384" s="325" t="e">
        <f>ROUND(VLOOKUP(O384,M339:Q343,5,FALSE),)</f>
        <v>#N/A</v>
      </c>
      <c r="J384" s="325" t="e">
        <f>ROUND(VLOOKUP(Q384,M339:Q343,4,FALSE),)</f>
        <v>#N/A</v>
      </c>
      <c r="K384" s="325" t="e">
        <f>ROUND(VLOOKUP(Q384,M339:Q343,5,FALSE),)</f>
        <v>#N/A</v>
      </c>
      <c r="L384" s="620">
        <f t="shared" si="68"/>
        <v>-1.5707963267948966</v>
      </c>
      <c r="M384" s="623">
        <f t="shared" ref="M384:M400" si="72">M383</f>
        <v>0</v>
      </c>
      <c r="N384" s="621" t="e">
        <f>ROUND(HLOOKUP(M384,N345:R346,2,FALSE),)</f>
        <v>#N/A</v>
      </c>
      <c r="O384" s="623">
        <f t="shared" ref="O384:O400" si="73">O383</f>
        <v>0</v>
      </c>
      <c r="P384" s="622" t="e">
        <f>PI()*(F384*(J384+C342)-E384*(K384+C342))/(((J384+C342)*(I384+C342))-((H384+C342)*(K384+C342)))</f>
        <v>#N/A</v>
      </c>
      <c r="Q384" s="623">
        <f t="shared" ref="Q384:Q400" si="74">Q383</f>
        <v>0</v>
      </c>
      <c r="R384" s="622" t="e">
        <f>(E384*PI()-P384*(H384+C342))/(J384+C342)</f>
        <v>#N/A</v>
      </c>
      <c r="S384" s="625">
        <f t="shared" si="66"/>
        <v>360</v>
      </c>
      <c r="T384" s="236" t="e">
        <f t="shared" si="69"/>
        <v>#N/A</v>
      </c>
      <c r="U384" s="195" t="e">
        <f t="shared" si="70"/>
        <v>#N/A</v>
      </c>
      <c r="V384" s="195" t="e">
        <f t="shared" si="71"/>
        <v>#N/A</v>
      </c>
      <c r="W384" s="185"/>
      <c r="X384" s="141"/>
      <c r="Z384" s="187"/>
      <c r="AA384" s="187"/>
    </row>
    <row r="385" spans="1:27" s="186" customFormat="1" ht="15" customHeight="1">
      <c r="A385" s="215"/>
      <c r="B385" s="168" t="s">
        <v>1058</v>
      </c>
      <c r="C385" s="298">
        <f>C384+2*SIN(RADIANS(M346))*(N339+C342)</f>
        <v>0</v>
      </c>
      <c r="D385" s="323">
        <f>(C385-(SIN(RADIANS(M346))*N339)-(COS(RADIANS(M346))*O339))*PI()/MEDIAN(U339:V343,P339:Q343)</f>
        <v>-4.7123889803846897</v>
      </c>
      <c r="E385" s="323" t="e">
        <f>(C385*PI()-N385*(G385+C342))/PI()</f>
        <v>#N/A</v>
      </c>
      <c r="F385" s="323" t="e">
        <f>E385-2*O339*COS(RADIANS(M346))</f>
        <v>#N/A</v>
      </c>
      <c r="G385" s="325" t="e">
        <f>ROUND(VLOOKUP(M385,R339:V343,4,FALSE),)</f>
        <v>#N/A</v>
      </c>
      <c r="H385" s="325" t="e">
        <f>ROUND(VLOOKUP(O385,M339:Q343,4,FALSE),)</f>
        <v>#N/A</v>
      </c>
      <c r="I385" s="325" t="e">
        <f>ROUND(VLOOKUP(O385,M339:Q343,5,FALSE),)</f>
        <v>#N/A</v>
      </c>
      <c r="J385" s="325" t="e">
        <f>ROUND(VLOOKUP(Q385,M339:Q343,4,FALSE),)</f>
        <v>#N/A</v>
      </c>
      <c r="K385" s="325" t="e">
        <f>ROUND(VLOOKUP(Q385,M339:Q343,5,FALSE),)</f>
        <v>#N/A</v>
      </c>
      <c r="L385" s="620">
        <f t="shared" si="68"/>
        <v>-1.5707963267948966</v>
      </c>
      <c r="M385" s="623">
        <f t="shared" si="72"/>
        <v>0</v>
      </c>
      <c r="N385" s="621" t="e">
        <f>ROUND(HLOOKUP(M385,N345:R346,2,FALSE),)</f>
        <v>#N/A</v>
      </c>
      <c r="O385" s="623">
        <f t="shared" si="73"/>
        <v>0</v>
      </c>
      <c r="P385" s="622" t="e">
        <f>PI()*(F385*(J385+C342)-E385*(K385+C342))/(((J385+C342)*(I385+C342))-((H385+C342)*(K385+C342)))</f>
        <v>#N/A</v>
      </c>
      <c r="Q385" s="623">
        <f t="shared" si="74"/>
        <v>0</v>
      </c>
      <c r="R385" s="622" t="e">
        <f>(E385*PI()-P385*(H385+C342))/(J385+C342)</f>
        <v>#N/A</v>
      </c>
      <c r="S385" s="625">
        <f t="shared" si="66"/>
        <v>360</v>
      </c>
      <c r="T385" s="236" t="e">
        <f t="shared" si="69"/>
        <v>#N/A</v>
      </c>
      <c r="U385" s="195" t="e">
        <f t="shared" si="70"/>
        <v>#N/A</v>
      </c>
      <c r="V385" s="195" t="e">
        <f t="shared" si="71"/>
        <v>#N/A</v>
      </c>
      <c r="W385" s="185"/>
      <c r="X385" s="141"/>
      <c r="Z385" s="187"/>
      <c r="AA385" s="187"/>
    </row>
    <row r="386" spans="1:27" s="186" customFormat="1" ht="15" customHeight="1">
      <c r="A386" s="215"/>
      <c r="B386" s="168" t="s">
        <v>1059</v>
      </c>
      <c r="C386" s="298">
        <f>C385+2*SIN(RADIANS(M346))*(N339+C342)</f>
        <v>0</v>
      </c>
      <c r="D386" s="323">
        <f>(C386-(SIN(RADIANS(M346))*N339)-(COS(RADIANS(M346))*O339))*PI()/MEDIAN(U339:V343,P339:Q343)</f>
        <v>-4.7123889803846897</v>
      </c>
      <c r="E386" s="323" t="e">
        <f>(C386*PI()-N386*(G386+C342))/PI()</f>
        <v>#N/A</v>
      </c>
      <c r="F386" s="323" t="e">
        <f>E386-2*O339*COS(RADIANS(M346))</f>
        <v>#N/A</v>
      </c>
      <c r="G386" s="325" t="e">
        <f>ROUND(VLOOKUP(M386,R339:V343,4,FALSE),)</f>
        <v>#N/A</v>
      </c>
      <c r="H386" s="325" t="e">
        <f>ROUND(VLOOKUP(O386,M339:Q343,4,FALSE),)</f>
        <v>#N/A</v>
      </c>
      <c r="I386" s="325" t="e">
        <f>ROUND(VLOOKUP(O386,M339:Q343,5,FALSE),)</f>
        <v>#N/A</v>
      </c>
      <c r="J386" s="325" t="e">
        <f>ROUND(VLOOKUP(Q386,M339:Q343,4,FALSE),)</f>
        <v>#N/A</v>
      </c>
      <c r="K386" s="325" t="e">
        <f>ROUND(VLOOKUP(Q386,M339:Q343,5,FALSE),)</f>
        <v>#N/A</v>
      </c>
      <c r="L386" s="620">
        <f t="shared" si="68"/>
        <v>-1.5707963267948966</v>
      </c>
      <c r="M386" s="623">
        <f t="shared" si="72"/>
        <v>0</v>
      </c>
      <c r="N386" s="621" t="e">
        <f>ROUND(HLOOKUP(M386,N345:R346,2,FALSE),)</f>
        <v>#N/A</v>
      </c>
      <c r="O386" s="623">
        <f t="shared" si="73"/>
        <v>0</v>
      </c>
      <c r="P386" s="622" t="e">
        <f>PI()*(F386*(J386+C342)-E386*(K386+C342))/(((J386+C342)*(I386+C342))-((H386+C342)*(K386+C342)))</f>
        <v>#N/A</v>
      </c>
      <c r="Q386" s="623">
        <f t="shared" si="74"/>
        <v>0</v>
      </c>
      <c r="R386" s="622" t="e">
        <f>(E386*PI()-P386*(H386+C342))/(J386+C342)</f>
        <v>#N/A</v>
      </c>
      <c r="S386" s="625">
        <f t="shared" si="66"/>
        <v>360</v>
      </c>
      <c r="T386" s="236" t="e">
        <f t="shared" si="69"/>
        <v>#N/A</v>
      </c>
      <c r="U386" s="195" t="e">
        <f t="shared" si="70"/>
        <v>#N/A</v>
      </c>
      <c r="V386" s="195" t="e">
        <f t="shared" si="71"/>
        <v>#N/A</v>
      </c>
      <c r="W386" s="185"/>
      <c r="X386" s="141"/>
      <c r="Z386" s="187"/>
      <c r="AA386" s="187"/>
    </row>
    <row r="387" spans="1:27" s="186" customFormat="1" ht="15" customHeight="1">
      <c r="A387" s="215"/>
      <c r="B387" s="168" t="s">
        <v>1060</v>
      </c>
      <c r="C387" s="298">
        <f>C386+2*SIN(RADIANS(M346))*(N339+C342)</f>
        <v>0</v>
      </c>
      <c r="D387" s="323">
        <f>(C387-(SIN(RADIANS(M346))*N339)-(COS(RADIANS(M346))*O339))*PI()/MEDIAN(U339:V343,P339:Q343)</f>
        <v>-4.7123889803846897</v>
      </c>
      <c r="E387" s="323" t="e">
        <f>(C387*PI()-N387*(G387+C342))/PI()</f>
        <v>#N/A</v>
      </c>
      <c r="F387" s="323" t="e">
        <f>E387-2*O339*COS(RADIANS(M346))</f>
        <v>#N/A</v>
      </c>
      <c r="G387" s="325" t="e">
        <f>ROUND(VLOOKUP(M387,R339:V343,4,FALSE),)</f>
        <v>#N/A</v>
      </c>
      <c r="H387" s="325" t="e">
        <f>ROUND(VLOOKUP(O387,M339:Q343,4,FALSE),)</f>
        <v>#N/A</v>
      </c>
      <c r="I387" s="325" t="e">
        <f>ROUND(VLOOKUP(O387,M339:Q343,5,FALSE),)</f>
        <v>#N/A</v>
      </c>
      <c r="J387" s="325" t="e">
        <f>ROUND(VLOOKUP(Q387,M339:Q343,4,FALSE),)</f>
        <v>#N/A</v>
      </c>
      <c r="K387" s="325" t="e">
        <f>ROUND(VLOOKUP(Q387,M339:Q343,5,FALSE),)</f>
        <v>#N/A</v>
      </c>
      <c r="L387" s="620">
        <f t="shared" si="68"/>
        <v>-1.5707963267948966</v>
      </c>
      <c r="M387" s="623">
        <f t="shared" si="72"/>
        <v>0</v>
      </c>
      <c r="N387" s="621" t="e">
        <f>ROUND(HLOOKUP(M387,N345:R346,2,FALSE),)</f>
        <v>#N/A</v>
      </c>
      <c r="O387" s="623">
        <f t="shared" si="73"/>
        <v>0</v>
      </c>
      <c r="P387" s="622" t="e">
        <f>PI()*(F387*(J387+C342)-E387*(K387+C342))/(((J387+C342)*(I387+C342))-((H387+C342)*(K387+C342)))</f>
        <v>#N/A</v>
      </c>
      <c r="Q387" s="623">
        <f t="shared" si="74"/>
        <v>0</v>
      </c>
      <c r="R387" s="622" t="e">
        <f>(E387*PI()-P387*(H387+C342))/(J387+C342)</f>
        <v>#N/A</v>
      </c>
      <c r="S387" s="625">
        <f t="shared" si="66"/>
        <v>360</v>
      </c>
      <c r="T387" s="236" t="e">
        <f t="shared" si="69"/>
        <v>#N/A</v>
      </c>
      <c r="U387" s="195" t="e">
        <f t="shared" si="70"/>
        <v>#N/A</v>
      </c>
      <c r="V387" s="195" t="e">
        <f t="shared" si="71"/>
        <v>#N/A</v>
      </c>
      <c r="W387" s="185"/>
      <c r="X387" s="141"/>
      <c r="Z387" s="187"/>
      <c r="AA387" s="187"/>
    </row>
    <row r="388" spans="1:27" s="186" customFormat="1" ht="15" customHeight="1">
      <c r="A388" s="215"/>
      <c r="B388" s="168" t="s">
        <v>1061</v>
      </c>
      <c r="C388" s="298">
        <f>C387+2*SIN(RADIANS(M346))*(N339+C342)</f>
        <v>0</v>
      </c>
      <c r="D388" s="323">
        <f>(C388-(SIN(RADIANS(M346))*N339)-(COS(RADIANS(M346))*O339))*PI()/MEDIAN(U339:V343,P339:Q343)</f>
        <v>-4.7123889803846897</v>
      </c>
      <c r="E388" s="323" t="e">
        <f>(C388*PI()-N388*(G388+C342))/PI()</f>
        <v>#N/A</v>
      </c>
      <c r="F388" s="323" t="e">
        <f>E388-2*O339*COS(RADIANS(M346))</f>
        <v>#N/A</v>
      </c>
      <c r="G388" s="325" t="e">
        <f>ROUND(VLOOKUP(M388,R339:V343,4,FALSE),)</f>
        <v>#N/A</v>
      </c>
      <c r="H388" s="325" t="e">
        <f>ROUND(VLOOKUP(O388,M339:Q343,4,FALSE),)</f>
        <v>#N/A</v>
      </c>
      <c r="I388" s="325" t="e">
        <f>ROUND(VLOOKUP(O388,M339:Q343,5,FALSE),)</f>
        <v>#N/A</v>
      </c>
      <c r="J388" s="325" t="e">
        <f>ROUND(VLOOKUP(Q388,M339:Q343,4,FALSE),)</f>
        <v>#N/A</v>
      </c>
      <c r="K388" s="325" t="e">
        <f>ROUND(VLOOKUP(Q388,M339:Q343,5,FALSE),)</f>
        <v>#N/A</v>
      </c>
      <c r="L388" s="620">
        <f t="shared" si="68"/>
        <v>-1.5707963267948966</v>
      </c>
      <c r="M388" s="623">
        <f t="shared" si="72"/>
        <v>0</v>
      </c>
      <c r="N388" s="621" t="e">
        <f>ROUND(HLOOKUP(M388,N345:R346,2,FALSE),)</f>
        <v>#N/A</v>
      </c>
      <c r="O388" s="623">
        <f t="shared" si="73"/>
        <v>0</v>
      </c>
      <c r="P388" s="622" t="e">
        <f>PI()*(F388*(J388+C342)-E388*(K388+C342))/(((J388+C342)*(I388+C342))-((H388+C342)*(K388+C342)))</f>
        <v>#N/A</v>
      </c>
      <c r="Q388" s="623">
        <f t="shared" si="74"/>
        <v>0</v>
      </c>
      <c r="R388" s="622" t="e">
        <f>(E388*PI()-P388*(H388+C342))/(J388+C342)</f>
        <v>#N/A</v>
      </c>
      <c r="S388" s="625">
        <f t="shared" si="66"/>
        <v>360</v>
      </c>
      <c r="T388" s="236" t="e">
        <f t="shared" si="69"/>
        <v>#N/A</v>
      </c>
      <c r="U388" s="195" t="e">
        <f t="shared" si="70"/>
        <v>#N/A</v>
      </c>
      <c r="V388" s="195" t="e">
        <f t="shared" si="71"/>
        <v>#N/A</v>
      </c>
      <c r="W388" s="185"/>
      <c r="X388" s="141"/>
      <c r="Z388" s="187"/>
      <c r="AA388" s="187"/>
    </row>
    <row r="389" spans="1:27" s="186" customFormat="1" ht="15" customHeight="1">
      <c r="A389" s="215"/>
      <c r="B389" s="168" t="s">
        <v>1062</v>
      </c>
      <c r="C389" s="298">
        <f>C388+2*SIN(RADIANS(M346))*(N339+C342)</f>
        <v>0</v>
      </c>
      <c r="D389" s="323">
        <f>(C389-(SIN(RADIANS(M346))*N339)-(COS(RADIANS(M346))*O339))*PI()/MEDIAN(U339:V343,P339:Q343)</f>
        <v>-4.7123889803846897</v>
      </c>
      <c r="E389" s="323" t="e">
        <f>(C389*PI()-N389*(G389+C342))/PI()</f>
        <v>#N/A</v>
      </c>
      <c r="F389" s="323" t="e">
        <f>E389-2*O339*COS(RADIANS(M346))</f>
        <v>#N/A</v>
      </c>
      <c r="G389" s="325" t="e">
        <f>ROUND(VLOOKUP(M389,R339:V343,4,FALSE),)</f>
        <v>#N/A</v>
      </c>
      <c r="H389" s="325" t="e">
        <f>ROUND(VLOOKUP(O389,M339:Q343,4,FALSE),)</f>
        <v>#N/A</v>
      </c>
      <c r="I389" s="325" t="e">
        <f>ROUND(VLOOKUP(O389,M339:Q343,5,FALSE),)</f>
        <v>#N/A</v>
      </c>
      <c r="J389" s="325" t="e">
        <f>ROUND(VLOOKUP(Q389,M339:Q343,4,FALSE),)</f>
        <v>#N/A</v>
      </c>
      <c r="K389" s="325" t="e">
        <f>ROUND(VLOOKUP(Q389,M339:Q343,5,FALSE),)</f>
        <v>#N/A</v>
      </c>
      <c r="L389" s="620">
        <f t="shared" si="68"/>
        <v>-1.5707963267948966</v>
      </c>
      <c r="M389" s="623">
        <f t="shared" si="72"/>
        <v>0</v>
      </c>
      <c r="N389" s="621" t="e">
        <f>ROUND(HLOOKUP(M389,N345:R346,2,FALSE),)</f>
        <v>#N/A</v>
      </c>
      <c r="O389" s="623">
        <f t="shared" si="73"/>
        <v>0</v>
      </c>
      <c r="P389" s="622" t="e">
        <f>PI()*(F389*(J389+C342)-E389*(K389+C342))/(((J389+C342)*(I389+C342))-((H389+C342)*(K389+C342)))</f>
        <v>#N/A</v>
      </c>
      <c r="Q389" s="623">
        <f t="shared" si="74"/>
        <v>0</v>
      </c>
      <c r="R389" s="622" t="e">
        <f>(E389*PI()-P389*(H389+C342))/(J389+C342)</f>
        <v>#N/A</v>
      </c>
      <c r="S389" s="625">
        <f t="shared" si="66"/>
        <v>360</v>
      </c>
      <c r="T389" s="236" t="e">
        <f t="shared" si="69"/>
        <v>#N/A</v>
      </c>
      <c r="U389" s="195" t="e">
        <f t="shared" si="70"/>
        <v>#N/A</v>
      </c>
      <c r="V389" s="195" t="e">
        <f t="shared" si="71"/>
        <v>#N/A</v>
      </c>
      <c r="W389" s="185"/>
      <c r="X389" s="141"/>
      <c r="Z389" s="187"/>
      <c r="AA389" s="187"/>
    </row>
    <row r="390" spans="1:27" s="186" customFormat="1" ht="15" customHeight="1">
      <c r="A390" s="215"/>
      <c r="B390" s="168" t="s">
        <v>1063</v>
      </c>
      <c r="C390" s="298">
        <f>C389+2*SIN(RADIANS(M346))*(N339+C342)</f>
        <v>0</v>
      </c>
      <c r="D390" s="323">
        <f>(C390-(SIN(RADIANS(M346))*N339)-(COS(RADIANS(M346))*O339))*PI()/MEDIAN(U339:V343,P339:Q343)</f>
        <v>-4.7123889803846897</v>
      </c>
      <c r="E390" s="323" t="e">
        <f>(C390*PI()-N390*(G390+C342))/PI()</f>
        <v>#N/A</v>
      </c>
      <c r="F390" s="323" t="e">
        <f>E390-2*O339*COS(RADIANS(M346))</f>
        <v>#N/A</v>
      </c>
      <c r="G390" s="325" t="e">
        <f>ROUND(VLOOKUP(M390,R339:V343,4,FALSE),)</f>
        <v>#N/A</v>
      </c>
      <c r="H390" s="325" t="e">
        <f>ROUND(VLOOKUP(O390,M339:Q343,4,FALSE),)</f>
        <v>#N/A</v>
      </c>
      <c r="I390" s="325" t="e">
        <f>ROUND(VLOOKUP(O390,M339:Q343,5,FALSE),)</f>
        <v>#N/A</v>
      </c>
      <c r="J390" s="325" t="e">
        <f>ROUND(VLOOKUP(Q390,M339:Q343,4,FALSE),)</f>
        <v>#N/A</v>
      </c>
      <c r="K390" s="325" t="e">
        <f>ROUND(VLOOKUP(Q390,M339:Q343,5,FALSE),)</f>
        <v>#N/A</v>
      </c>
      <c r="L390" s="620">
        <f t="shared" si="68"/>
        <v>-1.5707963267948966</v>
      </c>
      <c r="M390" s="623">
        <f t="shared" si="72"/>
        <v>0</v>
      </c>
      <c r="N390" s="621" t="e">
        <f>ROUND(HLOOKUP(M390,N345:R346,2,FALSE),)</f>
        <v>#N/A</v>
      </c>
      <c r="O390" s="623">
        <f t="shared" si="73"/>
        <v>0</v>
      </c>
      <c r="P390" s="622" t="e">
        <f>PI()*(F390*(J390+C342)-E390*(K390+C342))/(((J390+C342)*(I390+C342))-((H390+C342)*(K390+C342)))</f>
        <v>#N/A</v>
      </c>
      <c r="Q390" s="623">
        <f t="shared" si="74"/>
        <v>0</v>
      </c>
      <c r="R390" s="622" t="e">
        <f>(E390*PI()-P390*(H390+C342))/(J390+C342)</f>
        <v>#N/A</v>
      </c>
      <c r="S390" s="625">
        <f t="shared" si="66"/>
        <v>360</v>
      </c>
      <c r="T390" s="236" t="e">
        <f t="shared" si="69"/>
        <v>#N/A</v>
      </c>
      <c r="U390" s="195" t="e">
        <f t="shared" si="70"/>
        <v>#N/A</v>
      </c>
      <c r="V390" s="195" t="e">
        <f t="shared" si="71"/>
        <v>#N/A</v>
      </c>
      <c r="W390" s="185"/>
      <c r="X390" s="141"/>
      <c r="Z390" s="187"/>
      <c r="AA390" s="187"/>
    </row>
    <row r="391" spans="1:27" s="186" customFormat="1" ht="15" customHeight="1">
      <c r="A391" s="215"/>
      <c r="B391" s="168" t="s">
        <v>1064</v>
      </c>
      <c r="C391" s="298">
        <f>C390+2*SIN(RADIANS(M346))*(N339+C342)</f>
        <v>0</v>
      </c>
      <c r="D391" s="323">
        <f>(C391-(SIN(RADIANS(M346))*N339)-(COS(RADIANS(M346))*O339))*PI()/MEDIAN(U339:V343,P339:Q343)</f>
        <v>-4.7123889803846897</v>
      </c>
      <c r="E391" s="323" t="e">
        <f>(C391*PI()-N391*(G391+C342))/PI()</f>
        <v>#N/A</v>
      </c>
      <c r="F391" s="323" t="e">
        <f>E391-2*O339*COS(RADIANS(M346))</f>
        <v>#N/A</v>
      </c>
      <c r="G391" s="325" t="e">
        <f>ROUND(VLOOKUP(M391,R339:V343,4,FALSE),)</f>
        <v>#N/A</v>
      </c>
      <c r="H391" s="325" t="e">
        <f>ROUND(VLOOKUP(O391,M339:Q343,4,FALSE),)</f>
        <v>#N/A</v>
      </c>
      <c r="I391" s="325" t="e">
        <f>ROUND(VLOOKUP(O391,M339:Q343,5,FALSE),)</f>
        <v>#N/A</v>
      </c>
      <c r="J391" s="325" t="e">
        <f>ROUND(VLOOKUP(Q391,M339:Q343,4,FALSE),)</f>
        <v>#N/A</v>
      </c>
      <c r="K391" s="325" t="e">
        <f>ROUND(VLOOKUP(Q391,M339:Q343,5,FALSE),)</f>
        <v>#N/A</v>
      </c>
      <c r="L391" s="620">
        <f t="shared" si="68"/>
        <v>-1.5707963267948966</v>
      </c>
      <c r="M391" s="623">
        <f t="shared" si="72"/>
        <v>0</v>
      </c>
      <c r="N391" s="621" t="e">
        <f>ROUND(HLOOKUP(M391,N345:R346,2,FALSE),)</f>
        <v>#N/A</v>
      </c>
      <c r="O391" s="623">
        <f t="shared" si="73"/>
        <v>0</v>
      </c>
      <c r="P391" s="622" t="e">
        <f>PI()*(F391*(J391+C342)-E391*(K391+C342))/(((J391+C342)*(I391+C342))-((H391+C342)*(K391+C342)))</f>
        <v>#N/A</v>
      </c>
      <c r="Q391" s="623">
        <f t="shared" si="74"/>
        <v>0</v>
      </c>
      <c r="R391" s="622" t="e">
        <f>(E391*PI()-P391*(H391+C342))/(J391+C342)</f>
        <v>#N/A</v>
      </c>
      <c r="S391" s="625">
        <f t="shared" si="66"/>
        <v>360</v>
      </c>
      <c r="T391" s="236" t="e">
        <f t="shared" si="69"/>
        <v>#N/A</v>
      </c>
      <c r="U391" s="195" t="e">
        <f t="shared" si="70"/>
        <v>#N/A</v>
      </c>
      <c r="V391" s="195" t="e">
        <f t="shared" si="71"/>
        <v>#N/A</v>
      </c>
      <c r="W391" s="185"/>
      <c r="X391" s="141"/>
      <c r="Z391" s="187"/>
      <c r="AA391" s="187"/>
    </row>
    <row r="392" spans="1:27" s="186" customFormat="1" ht="15" customHeight="1">
      <c r="A392" s="215"/>
      <c r="B392" s="168" t="s">
        <v>1065</v>
      </c>
      <c r="C392" s="298">
        <f>C391+2*SIN(RADIANS(M346))*(N339+C342)</f>
        <v>0</v>
      </c>
      <c r="D392" s="323">
        <f>(C392-(SIN(RADIANS(M346))*N339)-(COS(RADIANS(M346))*O339))*PI()/MEDIAN(U339:V343,P339:Q343)</f>
        <v>-4.7123889803846897</v>
      </c>
      <c r="E392" s="323" t="e">
        <f>(C392*PI()-N392*(G392+C342))/PI()</f>
        <v>#N/A</v>
      </c>
      <c r="F392" s="323" t="e">
        <f>E392-2*O339*COS(RADIANS(M346))</f>
        <v>#N/A</v>
      </c>
      <c r="G392" s="325" t="e">
        <f>ROUND(VLOOKUP(M392,R339:V343,4,FALSE),)</f>
        <v>#N/A</v>
      </c>
      <c r="H392" s="325" t="e">
        <f>ROUND(VLOOKUP(O392,M339:Q343,4,FALSE),)</f>
        <v>#N/A</v>
      </c>
      <c r="I392" s="325" t="e">
        <f>ROUND(VLOOKUP(O392,M339:Q343,5,FALSE),)</f>
        <v>#N/A</v>
      </c>
      <c r="J392" s="325" t="e">
        <f>ROUND(VLOOKUP(Q392,M339:Q343,4,FALSE),)</f>
        <v>#N/A</v>
      </c>
      <c r="K392" s="325" t="e">
        <f>ROUND(VLOOKUP(Q392,M339:Q343,5,FALSE),)</f>
        <v>#N/A</v>
      </c>
      <c r="L392" s="620">
        <f t="shared" si="68"/>
        <v>-1.5707963267948966</v>
      </c>
      <c r="M392" s="623">
        <f t="shared" si="72"/>
        <v>0</v>
      </c>
      <c r="N392" s="621" t="e">
        <f>ROUND(HLOOKUP(M392,N345:R346,2,FALSE),)</f>
        <v>#N/A</v>
      </c>
      <c r="O392" s="623">
        <f t="shared" si="73"/>
        <v>0</v>
      </c>
      <c r="P392" s="622" t="e">
        <f>PI()*(F392*(J392+C342)-E392*(K392+C342))/(((J392+C342)*(I392+C342))-((H392+C342)*(K392+C342)))</f>
        <v>#N/A</v>
      </c>
      <c r="Q392" s="623">
        <f t="shared" si="74"/>
        <v>0</v>
      </c>
      <c r="R392" s="622" t="e">
        <f>(E392*PI()-P392*(H392+C342))/(J392+C342)</f>
        <v>#N/A</v>
      </c>
      <c r="S392" s="625">
        <f t="shared" si="66"/>
        <v>360</v>
      </c>
      <c r="T392" s="236" t="e">
        <f t="shared" si="69"/>
        <v>#N/A</v>
      </c>
      <c r="U392" s="195" t="e">
        <f t="shared" si="70"/>
        <v>#N/A</v>
      </c>
      <c r="V392" s="195" t="e">
        <f t="shared" si="71"/>
        <v>#N/A</v>
      </c>
      <c r="W392" s="185"/>
      <c r="X392" s="141"/>
      <c r="Z392" s="187"/>
      <c r="AA392" s="187"/>
    </row>
    <row r="393" spans="1:27" s="186" customFormat="1" ht="15" customHeight="1">
      <c r="A393" s="215"/>
      <c r="B393" s="168" t="s">
        <v>1066</v>
      </c>
      <c r="C393" s="298">
        <f>C392+2*SIN(RADIANS(M346))*(N339+C342)</f>
        <v>0</v>
      </c>
      <c r="D393" s="323">
        <f>(C393-(SIN(RADIANS(M346))*N339)-(COS(RADIANS(M346))*O339))*PI()/MEDIAN(U339:V343,P339:Q343)</f>
        <v>-4.7123889803846897</v>
      </c>
      <c r="E393" s="323" t="e">
        <f>(C393*PI()-N393*(G393+C342))/PI()</f>
        <v>#N/A</v>
      </c>
      <c r="F393" s="323" t="e">
        <f>E393-2*O339*COS(RADIANS(M346))</f>
        <v>#N/A</v>
      </c>
      <c r="G393" s="325" t="e">
        <f>ROUND(VLOOKUP(M393,R339:V343,4,FALSE),)</f>
        <v>#N/A</v>
      </c>
      <c r="H393" s="325" t="e">
        <f>ROUND(VLOOKUP(O393,M339:Q343,4,FALSE),)</f>
        <v>#N/A</v>
      </c>
      <c r="I393" s="325" t="e">
        <f>ROUND(VLOOKUP(O393,M339:Q343,5,FALSE),)</f>
        <v>#N/A</v>
      </c>
      <c r="J393" s="325" t="e">
        <f>ROUND(VLOOKUP(Q393,M339:Q343,4,FALSE),)</f>
        <v>#N/A</v>
      </c>
      <c r="K393" s="325" t="e">
        <f>ROUND(VLOOKUP(Q393,M339:Q343,5,FALSE),)</f>
        <v>#N/A</v>
      </c>
      <c r="L393" s="620">
        <f t="shared" si="68"/>
        <v>-1.5707963267948966</v>
      </c>
      <c r="M393" s="623">
        <f t="shared" si="72"/>
        <v>0</v>
      </c>
      <c r="N393" s="621" t="e">
        <f>ROUND(HLOOKUP(M393,N345:R346,2,FALSE),)</f>
        <v>#N/A</v>
      </c>
      <c r="O393" s="623">
        <f t="shared" si="73"/>
        <v>0</v>
      </c>
      <c r="P393" s="622" t="e">
        <f>PI()*(F393*(J393+C342)-E393*(K393+C342))/(((J393+C342)*(I393+C342))-((H393+C342)*(K393+C342)))</f>
        <v>#N/A</v>
      </c>
      <c r="Q393" s="623">
        <f t="shared" si="74"/>
        <v>0</v>
      </c>
      <c r="R393" s="622" t="e">
        <f>(E393*PI()-P393*(H393+C342))/(J393+C342)</f>
        <v>#N/A</v>
      </c>
      <c r="S393" s="625">
        <f t="shared" si="66"/>
        <v>360</v>
      </c>
      <c r="T393" s="236" t="e">
        <f t="shared" si="69"/>
        <v>#N/A</v>
      </c>
      <c r="U393" s="195" t="e">
        <f t="shared" si="70"/>
        <v>#N/A</v>
      </c>
      <c r="V393" s="195" t="e">
        <f t="shared" si="71"/>
        <v>#N/A</v>
      </c>
      <c r="W393" s="185"/>
      <c r="X393" s="141"/>
      <c r="Z393" s="187"/>
      <c r="AA393" s="187"/>
    </row>
    <row r="394" spans="1:27" s="186" customFormat="1" ht="15" customHeight="1">
      <c r="A394" s="215"/>
      <c r="B394" s="168" t="s">
        <v>1067</v>
      </c>
      <c r="C394" s="298">
        <f>C393+2*SIN(RADIANS(M346))*(N339+C342)</f>
        <v>0</v>
      </c>
      <c r="D394" s="323">
        <f>(C394-(SIN(RADIANS(M346))*N339)-(COS(RADIANS(M346))*O339))*PI()/MEDIAN(U339:V343,P339:Q343)</f>
        <v>-4.7123889803846897</v>
      </c>
      <c r="E394" s="323" t="e">
        <f>(C394*PI()-N394*(G394+C342))/PI()</f>
        <v>#N/A</v>
      </c>
      <c r="F394" s="323" t="e">
        <f>E394-2*O339*COS(RADIANS(M346))</f>
        <v>#N/A</v>
      </c>
      <c r="G394" s="325" t="e">
        <f>ROUND(VLOOKUP(M394,R339:V343,4,FALSE),)</f>
        <v>#N/A</v>
      </c>
      <c r="H394" s="325" t="e">
        <f>ROUND(VLOOKUP(O394,M339:Q343,4,FALSE),)</f>
        <v>#N/A</v>
      </c>
      <c r="I394" s="325" t="e">
        <f>ROUND(VLOOKUP(O394,M339:Q343,5,FALSE),)</f>
        <v>#N/A</v>
      </c>
      <c r="J394" s="325" t="e">
        <f>ROUND(VLOOKUP(Q394,M339:Q343,4,FALSE),)</f>
        <v>#N/A</v>
      </c>
      <c r="K394" s="325" t="e">
        <f>ROUND(VLOOKUP(Q394,M339:Q343,5,FALSE),)</f>
        <v>#N/A</v>
      </c>
      <c r="L394" s="620">
        <f t="shared" si="68"/>
        <v>-1.5707963267948966</v>
      </c>
      <c r="M394" s="623">
        <f t="shared" si="72"/>
        <v>0</v>
      </c>
      <c r="N394" s="621" t="e">
        <f>ROUND(HLOOKUP(M394,N345:R346,2,FALSE),)</f>
        <v>#N/A</v>
      </c>
      <c r="O394" s="623">
        <f t="shared" si="73"/>
        <v>0</v>
      </c>
      <c r="P394" s="622" t="e">
        <f>PI()*(F394*(J394+C342)-E394*(K394+C342))/(((J394+C342)*(I394+C342))-((H394+C342)*(K394+C342)))</f>
        <v>#N/A</v>
      </c>
      <c r="Q394" s="623">
        <f t="shared" si="74"/>
        <v>0</v>
      </c>
      <c r="R394" s="622" t="e">
        <f>(E394*PI()-P394*(H394+C342))/(J394+C342)</f>
        <v>#N/A</v>
      </c>
      <c r="S394" s="625">
        <f t="shared" si="66"/>
        <v>360</v>
      </c>
      <c r="T394" s="236" t="e">
        <f t="shared" si="69"/>
        <v>#N/A</v>
      </c>
      <c r="U394" s="195" t="e">
        <f t="shared" si="70"/>
        <v>#N/A</v>
      </c>
      <c r="V394" s="195" t="e">
        <f t="shared" si="71"/>
        <v>#N/A</v>
      </c>
      <c r="W394" s="185"/>
      <c r="X394" s="141"/>
      <c r="Z394" s="187"/>
      <c r="AA394" s="187"/>
    </row>
    <row r="395" spans="1:27" s="186" customFormat="1" ht="15" customHeight="1">
      <c r="A395" s="215"/>
      <c r="B395" s="168" t="s">
        <v>1068</v>
      </c>
      <c r="C395" s="298">
        <f>C394+2*SIN(RADIANS(M346))*(N339+C342)</f>
        <v>0</v>
      </c>
      <c r="D395" s="323">
        <f>(C395-(SIN(RADIANS(M346))*N339)-(COS(RADIANS(M346))*O339))*PI()/MEDIAN(U339:V343,P339:Q343)</f>
        <v>-4.7123889803846897</v>
      </c>
      <c r="E395" s="323" t="e">
        <f>(C395*PI()-N395*(G395+C342))/PI()</f>
        <v>#N/A</v>
      </c>
      <c r="F395" s="323" t="e">
        <f>E395-2*O339*COS(RADIANS(M346))</f>
        <v>#N/A</v>
      </c>
      <c r="G395" s="325" t="e">
        <f>ROUND(VLOOKUP(M395,R339:V343,4,FALSE),)</f>
        <v>#N/A</v>
      </c>
      <c r="H395" s="325" t="e">
        <f>ROUND(VLOOKUP(O395,M339:Q343,4,FALSE),)</f>
        <v>#N/A</v>
      </c>
      <c r="I395" s="325" t="e">
        <f>ROUND(VLOOKUP(O395,M339:Q343,5,FALSE),)</f>
        <v>#N/A</v>
      </c>
      <c r="J395" s="325" t="e">
        <f>ROUND(VLOOKUP(Q395,M339:Q343,4,FALSE),)</f>
        <v>#N/A</v>
      </c>
      <c r="K395" s="325" t="e">
        <f>ROUND(VLOOKUP(Q395,M339:Q343,5,FALSE),)</f>
        <v>#N/A</v>
      </c>
      <c r="L395" s="620">
        <f t="shared" si="68"/>
        <v>-1.5707963267948966</v>
      </c>
      <c r="M395" s="623">
        <f t="shared" si="72"/>
        <v>0</v>
      </c>
      <c r="N395" s="621" t="e">
        <f>ROUND(HLOOKUP(M395,N345:R346,2,FALSE),)</f>
        <v>#N/A</v>
      </c>
      <c r="O395" s="623">
        <f t="shared" si="73"/>
        <v>0</v>
      </c>
      <c r="P395" s="622" t="e">
        <f>PI()*(F395*(J395+C342)-E395*(K395+C342))/(((J395+C342)*(I395+C342))-((H395+C342)*(K395+C342)))</f>
        <v>#N/A</v>
      </c>
      <c r="Q395" s="623">
        <f t="shared" si="74"/>
        <v>0</v>
      </c>
      <c r="R395" s="622" t="e">
        <f>(E395*PI()-P395*(H395+C342))/(J395+C342)</f>
        <v>#N/A</v>
      </c>
      <c r="S395" s="625">
        <f t="shared" si="66"/>
        <v>360</v>
      </c>
      <c r="T395" s="236" t="e">
        <f t="shared" si="69"/>
        <v>#N/A</v>
      </c>
      <c r="U395" s="195" t="e">
        <f t="shared" si="70"/>
        <v>#N/A</v>
      </c>
      <c r="V395" s="195" t="e">
        <f t="shared" si="71"/>
        <v>#N/A</v>
      </c>
      <c r="W395" s="185"/>
      <c r="X395" s="141"/>
      <c r="Z395" s="187"/>
      <c r="AA395" s="187"/>
    </row>
    <row r="396" spans="1:27" s="186" customFormat="1" ht="15" customHeight="1">
      <c r="A396" s="215"/>
      <c r="B396" s="168" t="s">
        <v>1069</v>
      </c>
      <c r="C396" s="298">
        <f>C395+2*SIN(RADIANS(M346))*(N339+C342)</f>
        <v>0</v>
      </c>
      <c r="D396" s="323">
        <f>(C396-(SIN(RADIANS(M346))*N339)-(COS(RADIANS(M346))*O339))*PI()/MEDIAN(U339:V343,P339:Q343)</f>
        <v>-4.7123889803846897</v>
      </c>
      <c r="E396" s="323" t="e">
        <f>(C396*PI()-N396*(G396+C342))/PI()</f>
        <v>#N/A</v>
      </c>
      <c r="F396" s="323" t="e">
        <f>E396-2*O339*COS(RADIANS(M346))</f>
        <v>#N/A</v>
      </c>
      <c r="G396" s="325" t="e">
        <f>ROUND(VLOOKUP(M396,R339:V343,4,FALSE),)</f>
        <v>#N/A</v>
      </c>
      <c r="H396" s="325" t="e">
        <f>ROUND(VLOOKUP(O396,M339:Q343,4,FALSE),)</f>
        <v>#N/A</v>
      </c>
      <c r="I396" s="325" t="e">
        <f>ROUND(VLOOKUP(O396,M339:Q343,5,FALSE),)</f>
        <v>#N/A</v>
      </c>
      <c r="J396" s="325" t="e">
        <f>ROUND(VLOOKUP(Q396,M339:Q343,4,FALSE),)</f>
        <v>#N/A</v>
      </c>
      <c r="K396" s="325" t="e">
        <f>ROUND(VLOOKUP(Q396,M339:Q343,5,FALSE),)</f>
        <v>#N/A</v>
      </c>
      <c r="L396" s="620">
        <f t="shared" si="68"/>
        <v>-1.5707963267948966</v>
      </c>
      <c r="M396" s="623">
        <f t="shared" si="72"/>
        <v>0</v>
      </c>
      <c r="N396" s="621" t="e">
        <f>ROUND(HLOOKUP(M396,N345:R346,2,FALSE),)</f>
        <v>#N/A</v>
      </c>
      <c r="O396" s="623">
        <f t="shared" si="73"/>
        <v>0</v>
      </c>
      <c r="P396" s="622" t="e">
        <f>PI()*(F396*(J396+C342)-E396*(K396+C342))/(((J396+C342)*(I396+C342))-((H396+C342)*(K396+C342)))</f>
        <v>#N/A</v>
      </c>
      <c r="Q396" s="623">
        <f t="shared" si="74"/>
        <v>0</v>
      </c>
      <c r="R396" s="622" t="e">
        <f>(E396*PI()-P396*(H396+C342))/(J396+C342)</f>
        <v>#N/A</v>
      </c>
      <c r="S396" s="625">
        <f t="shared" si="66"/>
        <v>360</v>
      </c>
      <c r="T396" s="236" t="e">
        <f t="shared" si="69"/>
        <v>#N/A</v>
      </c>
      <c r="U396" s="195" t="e">
        <f t="shared" si="70"/>
        <v>#N/A</v>
      </c>
      <c r="V396" s="195" t="e">
        <f t="shared" si="71"/>
        <v>#N/A</v>
      </c>
      <c r="W396" s="185"/>
      <c r="X396" s="141"/>
      <c r="Z396" s="187"/>
      <c r="AA396" s="187"/>
    </row>
    <row r="397" spans="1:27" s="186" customFormat="1" ht="15" customHeight="1">
      <c r="A397" s="215"/>
      <c r="B397" s="168" t="s">
        <v>1070</v>
      </c>
      <c r="C397" s="298">
        <f>C396+2*SIN(RADIANS(M346))*(N339+C342)</f>
        <v>0</v>
      </c>
      <c r="D397" s="323">
        <f>(C397-(SIN(RADIANS(M346))*N339)-(COS(RADIANS(M346))*O339))*PI()/MEDIAN(U339:V343,P339:Q343)</f>
        <v>-4.7123889803846897</v>
      </c>
      <c r="E397" s="323" t="e">
        <f>(C397*PI()-N397*(G397+C342))/PI()</f>
        <v>#N/A</v>
      </c>
      <c r="F397" s="323" t="e">
        <f>E397-2*O339*COS(RADIANS(M346))</f>
        <v>#N/A</v>
      </c>
      <c r="G397" s="325" t="e">
        <f>ROUND(VLOOKUP(M397,R339:V343,4,FALSE),)</f>
        <v>#N/A</v>
      </c>
      <c r="H397" s="325" t="e">
        <f>ROUND(VLOOKUP(O397,M339:Q343,4,FALSE),)</f>
        <v>#N/A</v>
      </c>
      <c r="I397" s="325" t="e">
        <f>ROUND(VLOOKUP(O397,M339:Q343,5,FALSE),)</f>
        <v>#N/A</v>
      </c>
      <c r="J397" s="325" t="e">
        <f>ROUND(VLOOKUP(Q397,M339:Q343,4,FALSE),)</f>
        <v>#N/A</v>
      </c>
      <c r="K397" s="325" t="e">
        <f>ROUND(VLOOKUP(Q397,M339:Q343,5,FALSE),)</f>
        <v>#N/A</v>
      </c>
      <c r="L397" s="620">
        <f t="shared" si="68"/>
        <v>-1.5707963267948966</v>
      </c>
      <c r="M397" s="623">
        <f t="shared" si="72"/>
        <v>0</v>
      </c>
      <c r="N397" s="621" t="e">
        <f>ROUND(HLOOKUP(M397,N345:R346,2,FALSE),)</f>
        <v>#N/A</v>
      </c>
      <c r="O397" s="623">
        <f t="shared" si="73"/>
        <v>0</v>
      </c>
      <c r="P397" s="622" t="e">
        <f>PI()*(F397*(J397+C342)-E397*(K397+C342))/(((J397+C342)*(I397+C342))-((H397+C342)*(K397+C342)))</f>
        <v>#N/A</v>
      </c>
      <c r="Q397" s="623">
        <f t="shared" si="74"/>
        <v>0</v>
      </c>
      <c r="R397" s="622" t="e">
        <f>(E397*PI()-P397*(H397+C342))/(J397+C342)</f>
        <v>#N/A</v>
      </c>
      <c r="S397" s="625">
        <f t="shared" si="66"/>
        <v>360</v>
      </c>
      <c r="T397" s="236" t="e">
        <f t="shared" si="69"/>
        <v>#N/A</v>
      </c>
      <c r="U397" s="195" t="e">
        <f t="shared" si="70"/>
        <v>#N/A</v>
      </c>
      <c r="V397" s="195" t="e">
        <f t="shared" si="71"/>
        <v>#N/A</v>
      </c>
      <c r="W397" s="185"/>
      <c r="X397" s="141"/>
      <c r="Z397" s="187"/>
      <c r="AA397" s="187"/>
    </row>
    <row r="398" spans="1:27" s="186" customFormat="1" ht="15" customHeight="1">
      <c r="A398" s="215"/>
      <c r="B398" s="168" t="s">
        <v>1071</v>
      </c>
      <c r="C398" s="298">
        <f>C397+2*SIN(RADIANS(M346))*(N339+C342)</f>
        <v>0</v>
      </c>
      <c r="D398" s="323">
        <f>(C398-(SIN(RADIANS(M346))*N339)-(COS(RADIANS(M346))*O339))*PI()/MEDIAN(U339:V343,P339:Q343)</f>
        <v>-4.7123889803846897</v>
      </c>
      <c r="E398" s="323" t="e">
        <f>(C398*PI()-N398*(G398+C342))/PI()</f>
        <v>#N/A</v>
      </c>
      <c r="F398" s="323" t="e">
        <f>E398-2*O339*COS(RADIANS(M346))</f>
        <v>#N/A</v>
      </c>
      <c r="G398" s="325" t="e">
        <f>ROUND(VLOOKUP(M398,R339:V343,4,FALSE),)</f>
        <v>#N/A</v>
      </c>
      <c r="H398" s="325" t="e">
        <f>ROUND(VLOOKUP(O398,M339:Q343,4,FALSE),)</f>
        <v>#N/A</v>
      </c>
      <c r="I398" s="325" t="e">
        <f>ROUND(VLOOKUP(O398,M339:Q343,5,FALSE),)</f>
        <v>#N/A</v>
      </c>
      <c r="J398" s="325" t="e">
        <f>ROUND(VLOOKUP(Q398,M339:Q343,4,FALSE),)</f>
        <v>#N/A</v>
      </c>
      <c r="K398" s="325" t="e">
        <f>ROUND(VLOOKUP(Q398,M339:Q343,5,FALSE),)</f>
        <v>#N/A</v>
      </c>
      <c r="L398" s="620">
        <f t="shared" si="68"/>
        <v>-1.5707963267948966</v>
      </c>
      <c r="M398" s="623">
        <f t="shared" si="72"/>
        <v>0</v>
      </c>
      <c r="N398" s="621" t="e">
        <f>ROUND(HLOOKUP(M398,N345:R346,2,FALSE),)</f>
        <v>#N/A</v>
      </c>
      <c r="O398" s="623">
        <f t="shared" si="73"/>
        <v>0</v>
      </c>
      <c r="P398" s="622" t="e">
        <f>PI()*(F398*(J398+C342)-E398*(K398+C342))/(((J398+C342)*(I398+C342))-((H398+C342)*(K398+C342)))</f>
        <v>#N/A</v>
      </c>
      <c r="Q398" s="623">
        <f t="shared" si="74"/>
        <v>0</v>
      </c>
      <c r="R398" s="622" t="e">
        <f>(E398*PI()-P398*(H398+C342))/(J398+C342)</f>
        <v>#N/A</v>
      </c>
      <c r="S398" s="625">
        <f t="shared" si="66"/>
        <v>360</v>
      </c>
      <c r="T398" s="236" t="e">
        <f t="shared" si="69"/>
        <v>#N/A</v>
      </c>
      <c r="U398" s="195" t="e">
        <f t="shared" si="70"/>
        <v>#N/A</v>
      </c>
      <c r="V398" s="195" t="e">
        <f t="shared" si="71"/>
        <v>#N/A</v>
      </c>
      <c r="W398" s="185"/>
      <c r="X398" s="141"/>
      <c r="Z398" s="187"/>
      <c r="AA398" s="187"/>
    </row>
    <row r="399" spans="1:27" s="186" customFormat="1" ht="15" customHeight="1">
      <c r="A399" s="215"/>
      <c r="B399" s="168" t="s">
        <v>1072</v>
      </c>
      <c r="C399" s="298">
        <f>C398+2*SIN(RADIANS(M346))*(N339+C342)</f>
        <v>0</v>
      </c>
      <c r="D399" s="323">
        <f>(C399-(SIN(RADIANS(M346))*N339)-(COS(RADIANS(M346))*O339))*PI()/MEDIAN(U339:V343,P339:Q343)</f>
        <v>-4.7123889803846897</v>
      </c>
      <c r="E399" s="323" t="e">
        <f>(C399*PI()-N399*(G399+C342))/PI()</f>
        <v>#N/A</v>
      </c>
      <c r="F399" s="323" t="e">
        <f>E399-2*O339*COS(RADIANS(M346))</f>
        <v>#N/A</v>
      </c>
      <c r="G399" s="325" t="e">
        <f>ROUND(VLOOKUP(M399,R339:V343,4,FALSE),)</f>
        <v>#N/A</v>
      </c>
      <c r="H399" s="325" t="e">
        <f>ROUND(VLOOKUP(O399,M339:Q343,4,FALSE),)</f>
        <v>#N/A</v>
      </c>
      <c r="I399" s="325" t="e">
        <f>ROUND(VLOOKUP(O399,M339:Q343,5,FALSE),)</f>
        <v>#N/A</v>
      </c>
      <c r="J399" s="325" t="e">
        <f>ROUND(VLOOKUP(Q399,M339:Q343,4,FALSE),)</f>
        <v>#N/A</v>
      </c>
      <c r="K399" s="325" t="e">
        <f>ROUND(VLOOKUP(Q399,M339:Q343,5,FALSE),)</f>
        <v>#N/A</v>
      </c>
      <c r="L399" s="620">
        <f t="shared" si="68"/>
        <v>-1.5707963267948966</v>
      </c>
      <c r="M399" s="623">
        <f t="shared" si="72"/>
        <v>0</v>
      </c>
      <c r="N399" s="621" t="e">
        <f>ROUND(HLOOKUP(M399,N345:R346,2,FALSE),)</f>
        <v>#N/A</v>
      </c>
      <c r="O399" s="623">
        <f t="shared" si="73"/>
        <v>0</v>
      </c>
      <c r="P399" s="622" t="e">
        <f>PI()*(F399*(J399+C342)-E399*(K399+C342))/(((J399+C342)*(I399+C342))-((H399+C342)*(K399+C342)))</f>
        <v>#N/A</v>
      </c>
      <c r="Q399" s="623">
        <f t="shared" si="74"/>
        <v>0</v>
      </c>
      <c r="R399" s="622" t="e">
        <f>(E399*PI()-P399*(H399+C342))/(J399+C342)</f>
        <v>#N/A</v>
      </c>
      <c r="S399" s="625">
        <f t="shared" si="66"/>
        <v>360</v>
      </c>
      <c r="T399" s="236" t="e">
        <f t="shared" si="69"/>
        <v>#N/A</v>
      </c>
      <c r="U399" s="195" t="e">
        <f t="shared" si="70"/>
        <v>#N/A</v>
      </c>
      <c r="V399" s="195" t="e">
        <f t="shared" si="71"/>
        <v>#N/A</v>
      </c>
      <c r="W399" s="185"/>
      <c r="X399" s="141"/>
      <c r="Z399" s="187"/>
      <c r="AA399" s="187"/>
    </row>
    <row r="400" spans="1:27" s="186" customFormat="1" ht="15" customHeight="1" thickBot="1">
      <c r="A400" s="215"/>
      <c r="B400" s="168" t="s">
        <v>1073</v>
      </c>
      <c r="C400" s="298">
        <f>C399+2*SIN(RADIANS(M346))*(N339+C342)</f>
        <v>0</v>
      </c>
      <c r="D400" s="323">
        <f>(C400-(SIN(RADIANS(M346))*N339)-(COS(RADIANS(M346))*O339))*PI()/MEDIAN(U339:V343,P339:Q343)</f>
        <v>-4.7123889803846897</v>
      </c>
      <c r="E400" s="323" t="e">
        <f>(C400*PI()-N400*(G400+C342))/PI()</f>
        <v>#N/A</v>
      </c>
      <c r="F400" s="323" t="e">
        <f>E400-2*O339*COS(RADIANS(M346))</f>
        <v>#N/A</v>
      </c>
      <c r="G400" s="325" t="e">
        <f>ROUND(VLOOKUP(M400,R339:V343,4,FALSE),)</f>
        <v>#N/A</v>
      </c>
      <c r="H400" s="325" t="e">
        <f>ROUND(VLOOKUP(O400,M339:Q343,4,FALSE),)</f>
        <v>#N/A</v>
      </c>
      <c r="I400" s="325" t="e">
        <f>ROUND(VLOOKUP(O400,M339:Q343,5,FALSE),)</f>
        <v>#N/A</v>
      </c>
      <c r="J400" s="325" t="e">
        <f>ROUND(VLOOKUP(Q400,M339:Q343,4,FALSE),)</f>
        <v>#N/A</v>
      </c>
      <c r="K400" s="325" t="e">
        <f>ROUND(VLOOKUP(Q400,M339:Q343,5,FALSE),)</f>
        <v>#N/A</v>
      </c>
      <c r="L400" s="620">
        <f t="shared" si="68"/>
        <v>-1.5707963267948966</v>
      </c>
      <c r="M400" s="289">
        <f t="shared" si="72"/>
        <v>0</v>
      </c>
      <c r="N400" s="621" t="e">
        <f>ROUND(HLOOKUP(M400,N345:R346,2,FALSE),)</f>
        <v>#N/A</v>
      </c>
      <c r="O400" s="289">
        <f t="shared" si="73"/>
        <v>0</v>
      </c>
      <c r="P400" s="622" t="e">
        <f>PI()*(F400*(J400+C342)-E400*(K400+C342))/(((J400+C342)*(I400+C342))-((H400+C342)*(K400+C342)))</f>
        <v>#N/A</v>
      </c>
      <c r="Q400" s="289">
        <f t="shared" si="74"/>
        <v>0</v>
      </c>
      <c r="R400" s="622" t="e">
        <f>(E400*PI()-P400*(H400+C342))/(J400+C342)</f>
        <v>#N/A</v>
      </c>
      <c r="S400" s="626">
        <f t="shared" si="66"/>
        <v>360</v>
      </c>
      <c r="T400" s="236" t="e">
        <f t="shared" si="69"/>
        <v>#N/A</v>
      </c>
      <c r="U400" s="195" t="e">
        <f t="shared" si="70"/>
        <v>#N/A</v>
      </c>
      <c r="V400" s="195" t="e">
        <f t="shared" si="71"/>
        <v>#N/A</v>
      </c>
      <c r="W400" s="185"/>
      <c r="X400" s="141"/>
      <c r="Z400" s="187"/>
      <c r="AA400" s="187"/>
    </row>
    <row r="401" spans="1:27" s="186" customFormat="1" ht="15" customHeight="1">
      <c r="A401" s="215"/>
      <c r="B401" s="194"/>
      <c r="C401" s="200"/>
      <c r="D401" s="195"/>
      <c r="E401" s="195"/>
      <c r="F401" s="195"/>
      <c r="G401" s="195"/>
      <c r="H401" s="195"/>
      <c r="I401" s="195"/>
      <c r="J401" s="196"/>
      <c r="K401" s="196"/>
      <c r="L401" s="144"/>
      <c r="M401" s="195"/>
      <c r="N401" s="195"/>
      <c r="O401" s="195"/>
      <c r="P401" s="195"/>
      <c r="Q401" s="195"/>
      <c r="R401" s="195"/>
      <c r="S401" s="195"/>
      <c r="T401" s="195"/>
      <c r="U401" s="195"/>
      <c r="V401" s="197"/>
      <c r="W401" s="185"/>
      <c r="X401" s="141"/>
      <c r="Z401" s="187"/>
      <c r="AA401" s="187"/>
    </row>
    <row r="402" spans="1:27" s="186" customFormat="1" ht="15" customHeight="1">
      <c r="A402" s="215"/>
      <c r="B402" s="194"/>
      <c r="C402" s="200"/>
      <c r="D402" s="195"/>
      <c r="E402" s="195"/>
      <c r="F402" s="195"/>
      <c r="G402" s="195"/>
      <c r="H402" s="195"/>
      <c r="I402" s="195"/>
      <c r="J402" s="196"/>
      <c r="K402" s="196"/>
      <c r="L402" s="144"/>
      <c r="M402" s="195"/>
      <c r="N402" s="195"/>
      <c r="O402" s="195"/>
      <c r="P402" s="195"/>
      <c r="Q402" s="195"/>
      <c r="R402" s="195"/>
      <c r="S402" s="195"/>
      <c r="T402" s="195"/>
      <c r="U402" s="195"/>
      <c r="V402" s="197"/>
      <c r="W402" s="185"/>
      <c r="X402" s="141"/>
      <c r="Z402" s="187"/>
      <c r="AA402" s="187"/>
    </row>
    <row r="403" spans="1:27" s="186" customFormat="1" ht="15" customHeight="1" thickBot="1">
      <c r="A403" s="215"/>
      <c r="B403" s="279" t="s">
        <v>1010</v>
      </c>
      <c r="C403" s="280"/>
      <c r="D403" s="281"/>
      <c r="E403" s="281"/>
      <c r="F403" s="281"/>
      <c r="G403" s="281"/>
      <c r="H403" s="281"/>
      <c r="I403" s="281"/>
      <c r="J403" s="282"/>
      <c r="K403" s="282"/>
      <c r="L403" s="283"/>
      <c r="M403" s="281"/>
      <c r="N403" s="281"/>
      <c r="O403" s="281"/>
      <c r="P403" s="281"/>
      <c r="Q403" s="281"/>
      <c r="R403" s="281"/>
      <c r="S403" s="284"/>
      <c r="T403" s="281"/>
      <c r="U403" s="281" t="s">
        <v>678</v>
      </c>
      <c r="V403" s="285" t="s">
        <v>27</v>
      </c>
      <c r="W403" s="286"/>
      <c r="X403" s="287"/>
      <c r="Z403" s="187"/>
      <c r="AA403" s="187"/>
    </row>
    <row r="404" spans="1:27" s="186" customFormat="1" ht="15" customHeight="1" thickBot="1">
      <c r="A404" s="215"/>
      <c r="B404" s="210"/>
      <c r="C404" s="133">
        <f>SUMIF(Densidades!A:A,'Memória TOTAL'!X404,Densidades!B:B)</f>
        <v>0</v>
      </c>
      <c r="D404" s="134">
        <f>SUMIF(Densidades!A:A,'Memória TOTAL'!X404,Densidades!C:C)</f>
        <v>0</v>
      </c>
      <c r="E404" s="134" t="str">
        <f>IF(I404=15,"FIRECLAY MORTAR",IF(I404=16,"ALUMINA MORTAR",IF(I404=17,"BASIC MORTAR",IF(I404=18,"MORTAR","-"))))</f>
        <v>-</v>
      </c>
      <c r="F404" s="134" t="str">
        <f>IF(I404=15,"FIRECLAY MORTAR",IF(I404=16,"ALUMINA MORTAR",IF(I404=17,"BASIC MORTAR",IF(I404=18,"MORTAR","-"))))</f>
        <v>-</v>
      </c>
      <c r="G404" s="134" t="str">
        <f>IF(I404=15,"FIRECLAY MORTAR",IF(I404=16,"ALUMINA MORTAR",IF(I404=17,"BASIC MORTAR",IF(I404=18,"MORTAR","-"))))</f>
        <v>-</v>
      </c>
      <c r="H404" s="134" t="str">
        <f>IF(I404=15,"FIRECLAY MORTAR",IF(I404=16,"ALUMINA MORTAR",IF(I404=17,"BASIC MORTAR",IF(I404=18,"MORTAR","-"))))</f>
        <v>-</v>
      </c>
      <c r="I404" s="134">
        <f>SUMIF(Densidades!A:A,'Memória TOTAL'!X404,Densidades!G:G)</f>
        <v>0</v>
      </c>
      <c r="J404" s="136">
        <f>SUMIF(Formatos!A:A,'Memória TOTAL'!X405,Formatos!G:G)</f>
        <v>0</v>
      </c>
      <c r="K404" s="137">
        <f>SUMIF(Densidades!A:A,'Memória TOTAL'!X404,Densidades!I:I)</f>
        <v>0</v>
      </c>
      <c r="L404" s="188">
        <v>0</v>
      </c>
      <c r="M404" s="189"/>
      <c r="N404" s="189"/>
      <c r="O404" s="189"/>
      <c r="P404" s="189"/>
      <c r="Q404" s="189"/>
      <c r="R404" s="189"/>
      <c r="S404" s="189"/>
      <c r="T404" s="190"/>
      <c r="U404" s="290"/>
      <c r="V404" s="192" t="e">
        <f>(W297*J297*C404+W301*J301*C404+W305*J305*C404+W309*J309*C404+W313*J313*C404+W317*J317*C404+W321*J321*C404+W325*J325*C404+W329*J329*C404+W333*J333*C404)*U404</f>
        <v>#N/A</v>
      </c>
      <c r="W404" s="193" t="str">
        <f>IF(C404=0,"",ROUNDUP(SUM(V404:V405)*(1+L404)/D404,2)*D404)</f>
        <v/>
      </c>
      <c r="X404" s="263"/>
      <c r="Z404" s="187"/>
      <c r="AA404" s="187"/>
    </row>
    <row r="405" spans="1:27" s="186" customFormat="1" ht="15" customHeight="1">
      <c r="A405" s="215"/>
      <c r="B405" s="210"/>
      <c r="C405" s="133"/>
      <c r="D405" s="195"/>
      <c r="E405" s="195"/>
      <c r="F405" s="195"/>
      <c r="G405" s="195"/>
      <c r="H405" s="195"/>
      <c r="I405" s="195"/>
      <c r="J405" s="196"/>
      <c r="K405" s="196"/>
      <c r="L405" s="144"/>
      <c r="M405" s="195"/>
      <c r="N405" s="195"/>
      <c r="O405" s="195"/>
      <c r="P405" s="195"/>
      <c r="Q405" s="195"/>
      <c r="R405" s="195"/>
      <c r="S405" s="195"/>
      <c r="T405" s="195"/>
      <c r="U405" s="195"/>
      <c r="V405" s="197"/>
      <c r="W405" s="185"/>
      <c r="X405" s="141" t="str">
        <f>IF(AND(H404="-",G404="-",F404="-"),E404,IF(AND(H404="-",G404="-",E404="-"),F404,IF(AND(H404="-",F404="-",E404="-"),G404,H404)))</f>
        <v>-</v>
      </c>
      <c r="Z405" s="187"/>
      <c r="AA405" s="187"/>
    </row>
    <row r="406" spans="1:27" s="186" customFormat="1" ht="15" customHeight="1">
      <c r="A406" s="215"/>
      <c r="B406" s="213"/>
      <c r="C406" s="133"/>
      <c r="D406" s="195"/>
      <c r="E406" s="195"/>
      <c r="F406" s="195"/>
      <c r="G406" s="195"/>
      <c r="H406" s="195"/>
      <c r="I406" s="195"/>
      <c r="J406" s="196"/>
      <c r="K406" s="196"/>
      <c r="L406" s="144"/>
      <c r="M406" s="195"/>
      <c r="N406" s="195"/>
      <c r="O406" s="195"/>
      <c r="P406" s="195"/>
      <c r="Q406" s="195"/>
      <c r="R406" s="195"/>
      <c r="S406" s="195"/>
      <c r="T406" s="195"/>
      <c r="U406" s="195"/>
      <c r="V406" s="197"/>
      <c r="W406" s="185"/>
      <c r="X406" s="141" t="s">
        <v>2</v>
      </c>
      <c r="Z406" s="187"/>
      <c r="AA406" s="187"/>
    </row>
    <row r="407" spans="1:27" ht="15" customHeight="1">
      <c r="A407" s="215"/>
      <c r="B407" s="131"/>
      <c r="C407" s="169"/>
      <c r="D407" s="170"/>
      <c r="E407" s="170"/>
      <c r="F407" s="170"/>
      <c r="G407" s="170"/>
      <c r="H407" s="170"/>
      <c r="I407" s="170"/>
      <c r="J407" s="171"/>
      <c r="K407" s="171"/>
      <c r="L407" s="172"/>
      <c r="M407" s="170"/>
      <c r="N407" s="170"/>
      <c r="O407" s="170"/>
      <c r="P407" s="170"/>
      <c r="Q407" s="170"/>
      <c r="R407" s="170"/>
      <c r="S407" s="170"/>
      <c r="T407" s="170"/>
      <c r="U407" s="170"/>
      <c r="V407" s="173"/>
      <c r="W407" s="174"/>
      <c r="X407" s="175"/>
      <c r="Y407" s="186"/>
    </row>
    <row r="408" spans="1:27" s="186" customFormat="1" ht="15" customHeight="1" thickBot="1">
      <c r="A408" s="215"/>
      <c r="B408" s="279" t="s">
        <v>1011</v>
      </c>
      <c r="C408" s="280"/>
      <c r="D408" s="281"/>
      <c r="E408" s="281"/>
      <c r="F408" s="281"/>
      <c r="G408" s="281"/>
      <c r="H408" s="281"/>
      <c r="I408" s="281"/>
      <c r="J408" s="282"/>
      <c r="K408" s="282"/>
      <c r="L408" s="283"/>
      <c r="M408" s="281"/>
      <c r="N408" s="281"/>
      <c r="O408" s="281"/>
      <c r="P408" s="281"/>
      <c r="Q408" s="281"/>
      <c r="R408" s="281" t="s">
        <v>636</v>
      </c>
      <c r="S408" s="284" t="s">
        <v>637</v>
      </c>
      <c r="T408" s="281" t="s">
        <v>638</v>
      </c>
      <c r="U408" s="281" t="s">
        <v>38</v>
      </c>
      <c r="V408" s="285" t="s">
        <v>27</v>
      </c>
      <c r="W408" s="286"/>
      <c r="X408" s="287"/>
      <c r="Z408" s="187"/>
      <c r="AA408" s="187"/>
    </row>
    <row r="409" spans="1:27" s="186" customFormat="1" ht="15" customHeight="1" thickBot="1">
      <c r="A409" s="215"/>
      <c r="B409" s="210"/>
      <c r="C409" s="133">
        <f>SUMIF(Densidades!A:A,'Memória TOTAL'!X409,Densidades!B:B)</f>
        <v>0</v>
      </c>
      <c r="D409" s="134">
        <f>SUMIF(Densidades!A:A,'Memória TOTAL'!X409,Densidades!C:C)</f>
        <v>0</v>
      </c>
      <c r="E409" s="134" t="str">
        <f>IF(I409=15,"FIRECLAY MORTAR",IF(I409=16,"ALUMINA MORTAR",IF(I409=17,"BASIC MORTAR",IF(I409=18,"MORTAR","-"))))</f>
        <v>-</v>
      </c>
      <c r="F409" s="134" t="str">
        <f>IF(I409=15,"FIRECLAY MORTAR",IF(I409=16,"ALUMINA MORTAR",IF(I409=17,"BASIC MORTAR",IF(I409=18,"MORTAR","-"))))</f>
        <v>-</v>
      </c>
      <c r="G409" s="134" t="str">
        <f>IF(I409=15,"FIRECLAY MORTAR",IF(I409=16,"ALUMINA MORTAR",IF(I409=17,"BASIC MORTAR",IF(I409=18,"MORTAR","-"))))</f>
        <v>-</v>
      </c>
      <c r="H409" s="134" t="str">
        <f>IF(I409=15,"FIRECLAY MORTAR",IF(I409=16,"ALUMINA MORTAR",IF(I409=17,"BASIC MORTAR",IF(I409=18,"MORTAR","-"))))</f>
        <v>-</v>
      </c>
      <c r="I409" s="134">
        <f>SUMIF(Densidades!A:A,'Memória TOTAL'!X409,Densidades!G:G)</f>
        <v>0</v>
      </c>
      <c r="J409" s="136">
        <f>SUMIF(Formatos!A:A,'Memória TOTAL'!X410,Formatos!G:G)</f>
        <v>0</v>
      </c>
      <c r="K409" s="222">
        <f>SUMIF(Densidades!A:A,'Memória TOTAL'!X409,Densidades!I:I)</f>
        <v>0</v>
      </c>
      <c r="L409" s="188">
        <v>0</v>
      </c>
      <c r="M409" s="189"/>
      <c r="N409" s="189"/>
      <c r="O409" s="189"/>
      <c r="P409" s="189"/>
      <c r="Q409" s="189"/>
      <c r="R409" s="190">
        <f>((G297*H297)+(G297*E297)+(H297*E297))/1000000</f>
        <v>0</v>
      </c>
      <c r="S409" s="259">
        <v>2</v>
      </c>
      <c r="T409" s="190">
        <f>R409*S409</f>
        <v>0</v>
      </c>
      <c r="U409" s="191" t="e">
        <f>SUM(W297:W335)</f>
        <v>#N/A</v>
      </c>
      <c r="V409" s="192" t="e">
        <f>(T409*C409*(1+L409))*U409</f>
        <v>#N/A</v>
      </c>
      <c r="W409" s="140" t="str">
        <f>IF(C409=0,"",ROUNDUP(SUM(V409:V410)*(1+L409)/D409,2)*D409)</f>
        <v/>
      </c>
      <c r="X409" s="263"/>
      <c r="Z409" s="187"/>
      <c r="AA409" s="187"/>
    </row>
    <row r="410" spans="1:27" s="186" customFormat="1" ht="15" customHeight="1">
      <c r="A410" s="215"/>
      <c r="B410" s="210"/>
      <c r="C410" s="133"/>
      <c r="D410" s="195"/>
      <c r="E410" s="195"/>
      <c r="F410" s="195"/>
      <c r="G410" s="195"/>
      <c r="H410" s="195"/>
      <c r="I410" s="195"/>
      <c r="J410" s="196"/>
      <c r="K410" s="196"/>
      <c r="L410" s="144"/>
      <c r="M410" s="195"/>
      <c r="N410" s="195"/>
      <c r="O410" s="195"/>
      <c r="P410" s="195"/>
      <c r="Q410" s="195"/>
      <c r="R410" s="195"/>
      <c r="S410" s="195"/>
      <c r="T410" s="195"/>
      <c r="U410" s="195"/>
      <c r="V410" s="197"/>
      <c r="W410" s="185"/>
      <c r="X410" s="141" t="str">
        <f>IF(AND(H409="-",G409="-",F409="-"),E409,IF(AND(H409="-",G409="-",E409="-"),F409,IF(AND(H409="-",F409="-",E409="-"),G409,H409)))</f>
        <v>-</v>
      </c>
      <c r="Z410" s="187"/>
      <c r="AA410" s="187"/>
    </row>
    <row r="411" spans="1:27" s="186" customFormat="1" ht="15" customHeight="1">
      <c r="A411" s="215"/>
      <c r="B411" s="213"/>
      <c r="C411" s="133"/>
      <c r="D411" s="195"/>
      <c r="E411" s="195"/>
      <c r="F411" s="195"/>
      <c r="G411" s="195"/>
      <c r="H411" s="195"/>
      <c r="I411" s="195"/>
      <c r="J411" s="196"/>
      <c r="K411" s="196"/>
      <c r="L411" s="144"/>
      <c r="M411" s="195"/>
      <c r="N411" s="195"/>
      <c r="O411" s="195"/>
      <c r="P411" s="195"/>
      <c r="Q411" s="195"/>
      <c r="R411" s="195"/>
      <c r="S411" s="195"/>
      <c r="T411" s="195"/>
      <c r="U411" s="195"/>
      <c r="V411" s="197"/>
      <c r="W411" s="185"/>
      <c r="X411" s="141" t="s">
        <v>2</v>
      </c>
      <c r="Z411" s="187"/>
      <c r="AA411" s="187"/>
    </row>
    <row r="412" spans="1:27" s="186" customFormat="1" ht="15" customHeight="1">
      <c r="A412" s="214"/>
      <c r="B412" s="210"/>
      <c r="C412" s="298"/>
      <c r="D412" s="195"/>
      <c r="E412" s="195"/>
      <c r="F412" s="195"/>
      <c r="G412" s="195"/>
      <c r="H412" s="195"/>
      <c r="I412" s="195"/>
      <c r="J412" s="196"/>
      <c r="K412" s="196"/>
      <c r="L412" s="144"/>
      <c r="M412" s="195"/>
      <c r="N412" s="195"/>
      <c r="O412" s="195"/>
      <c r="P412" s="195"/>
      <c r="Q412" s="195"/>
      <c r="R412" s="195"/>
      <c r="S412" s="195"/>
      <c r="T412" s="195"/>
      <c r="U412" s="195"/>
      <c r="V412" s="197"/>
      <c r="W412" s="185"/>
      <c r="X412" s="141"/>
      <c r="Z412" s="187"/>
      <c r="AA412" s="187"/>
    </row>
    <row r="413" spans="1:27" s="186" customFormat="1" ht="15" customHeight="1" thickBot="1">
      <c r="A413" s="214"/>
      <c r="B413" s="509"/>
      <c r="C413" s="509"/>
      <c r="D413" s="512"/>
      <c r="E413" s="512"/>
      <c r="F413" s="512"/>
      <c r="G413" s="512"/>
      <c r="H413" s="512"/>
      <c r="I413" s="512"/>
      <c r="J413" s="512"/>
      <c r="K413" s="512"/>
      <c r="L413" s="512"/>
      <c r="M413" s="512"/>
      <c r="N413" s="512"/>
      <c r="O413" s="512"/>
      <c r="P413" s="512"/>
      <c r="Q413" s="512"/>
      <c r="R413" s="512"/>
      <c r="S413" s="512"/>
      <c r="T413" s="512"/>
      <c r="U413" s="512"/>
      <c r="V413" s="512"/>
      <c r="W413" s="512"/>
      <c r="X413" s="513"/>
      <c r="Z413" s="187"/>
      <c r="AA413" s="187"/>
    </row>
    <row r="414" spans="1:27" s="186" customFormat="1" ht="15" customHeight="1" thickBot="1">
      <c r="A414" s="215"/>
      <c r="B414" s="514" t="str">
        <f>IF(X415="","TIJOLO / TRONCO DE CONE - 3 TIJOLOS",X415)</f>
        <v>TIJOLO / TRONCO DE CONE - 3 TIJOLOS</v>
      </c>
      <c r="C414" s="658" t="s">
        <v>101</v>
      </c>
      <c r="D414" s="659" t="s">
        <v>102</v>
      </c>
      <c r="E414" s="659" t="s">
        <v>42</v>
      </c>
      <c r="F414" s="659" t="s">
        <v>42</v>
      </c>
      <c r="G414" s="659" t="s">
        <v>43</v>
      </c>
      <c r="H414" s="659" t="s">
        <v>44</v>
      </c>
      <c r="I414" s="659" t="s">
        <v>47</v>
      </c>
      <c r="J414" s="659" t="s">
        <v>103</v>
      </c>
      <c r="K414" s="659" t="s">
        <v>37</v>
      </c>
      <c r="L414" s="659" t="s">
        <v>39</v>
      </c>
      <c r="M414" s="659"/>
      <c r="N414" s="659" t="s">
        <v>2271</v>
      </c>
      <c r="O414" s="659" t="s">
        <v>2280</v>
      </c>
      <c r="P414" s="659" t="s">
        <v>46</v>
      </c>
      <c r="Q414" s="659" t="s">
        <v>62</v>
      </c>
      <c r="R414" s="659"/>
      <c r="S414" s="659"/>
      <c r="T414" s="659"/>
      <c r="U414" s="659"/>
      <c r="V414" s="685" t="s">
        <v>27</v>
      </c>
      <c r="W414" s="517"/>
      <c r="X414" s="518"/>
      <c r="Z414" s="187"/>
      <c r="AA414" s="187"/>
    </row>
    <row r="415" spans="1:27" s="186" customFormat="1" ht="15" customHeight="1" thickBot="1">
      <c r="A415" s="215"/>
      <c r="B415" s="194"/>
      <c r="C415" s="133">
        <f>SUMIF(Densidades!A:A,'Memória TOTAL'!X415,Densidades!B:B)</f>
        <v>0</v>
      </c>
      <c r="D415" s="134">
        <f>SUMIF(Densidades!A:A,'Memória TOTAL'!X415,Densidades!C:C)</f>
        <v>0</v>
      </c>
      <c r="E415" s="135">
        <f>SUMIF(Formatos!A:A,'Memória TOTAL'!X416,Formatos!E:E)</f>
        <v>0</v>
      </c>
      <c r="F415" s="135">
        <f>SUMIF(Formatos!A:A,'Memória TOTAL'!X416,Formatos!F:F)</f>
        <v>0</v>
      </c>
      <c r="G415" s="135">
        <f>SUMIF(Formatos!A:A,'Memória TOTAL'!X416,Formatos!C:C)</f>
        <v>0</v>
      </c>
      <c r="H415" s="135">
        <f>SUMIF(Formatos!A:A,'Memória TOTAL'!X416,Formatos!D:D)</f>
        <v>0</v>
      </c>
      <c r="I415" s="135">
        <f>SUMIF(Densidades!A:A,'Memória TOTAL'!X415,Densidades!H:H)</f>
        <v>0</v>
      </c>
      <c r="J415" s="136">
        <f>SUMIF(Formatos!A:A,'Memória TOTAL'!X416,Formatos!G:G)</f>
        <v>0</v>
      </c>
      <c r="K415" s="222">
        <f>SUMIF(Densidades!A:A,'Memória TOTAL'!X415,Densidades!I:I)</f>
        <v>0</v>
      </c>
      <c r="L415" s="223">
        <v>0</v>
      </c>
      <c r="M415" s="195"/>
      <c r="N415" s="256"/>
      <c r="O415" s="261"/>
      <c r="P415" s="643"/>
      <c r="Q415" s="261"/>
      <c r="R415" s="195"/>
      <c r="S415" s="195"/>
      <c r="T415" s="232"/>
      <c r="U415" s="235"/>
      <c r="V415" s="686" t="str">
        <f>IF(SUM(S429:S479)=0,"-",SUM(S429:S479))</f>
        <v>-</v>
      </c>
      <c r="W415" s="193" t="str">
        <f>IF(V415="-","",ROUNDUP(SUM(V415)*(1+L415),0))</f>
        <v/>
      </c>
      <c r="X415" s="263"/>
      <c r="Z415" s="187"/>
      <c r="AA415" s="187"/>
    </row>
    <row r="416" spans="1:27" s="186" customFormat="1" ht="15" customHeight="1">
      <c r="A416" s="215"/>
      <c r="B416" s="194"/>
      <c r="C416" s="200"/>
      <c r="D416" s="195"/>
      <c r="E416" s="195"/>
      <c r="F416" s="195"/>
      <c r="G416" s="195"/>
      <c r="H416" s="195"/>
      <c r="I416" s="195"/>
      <c r="J416" s="196"/>
      <c r="K416" s="196"/>
      <c r="L416" s="144"/>
      <c r="M416" s="195"/>
      <c r="N416" s="195"/>
      <c r="O416" s="195"/>
      <c r="P416" s="195"/>
      <c r="Q416" s="195"/>
      <c r="R416" s="195"/>
      <c r="S416" s="195"/>
      <c r="T416" s="195"/>
      <c r="U416" s="195"/>
      <c r="V416" s="197"/>
      <c r="W416" s="185"/>
      <c r="X416" s="141" t="str">
        <f>IF(X415="","",O421)</f>
        <v/>
      </c>
      <c r="Z416" s="187"/>
      <c r="AA416" s="187"/>
    </row>
    <row r="417" spans="1:27" s="186" customFormat="1" ht="15" customHeight="1">
      <c r="A417" s="215"/>
      <c r="B417" s="194"/>
      <c r="C417" s="660"/>
      <c r="D417" s="241"/>
      <c r="E417" s="241"/>
      <c r="F417" s="241"/>
      <c r="G417" s="241"/>
      <c r="H417" s="241"/>
      <c r="I417" s="241"/>
      <c r="J417" s="642"/>
      <c r="K417" s="642"/>
      <c r="L417" s="172"/>
      <c r="M417" s="195"/>
      <c r="N417" s="195"/>
      <c r="O417" s="195"/>
      <c r="P417" s="195"/>
      <c r="Q417" s="195"/>
      <c r="R417" s="195"/>
      <c r="S417" s="195"/>
      <c r="T417" s="195"/>
      <c r="U417" s="195"/>
      <c r="V417" s="197"/>
      <c r="W417" s="185"/>
      <c r="X417" s="141" t="s">
        <v>524</v>
      </c>
      <c r="Z417" s="187"/>
      <c r="AA417" s="187"/>
    </row>
    <row r="418" spans="1:27" s="186" customFormat="1" ht="15" customHeight="1" thickBot="1">
      <c r="A418" s="215"/>
      <c r="B418" s="194"/>
      <c r="C418" s="219" t="str">
        <f t="shared" ref="C418:L418" si="75">C414</f>
        <v>Dens.</v>
      </c>
      <c r="D418" s="661" t="str">
        <f t="shared" si="75"/>
        <v>Emb.</v>
      </c>
      <c r="E418" s="661" t="str">
        <f t="shared" si="75"/>
        <v>Esp. Tij.</v>
      </c>
      <c r="F418" s="661" t="str">
        <f t="shared" si="75"/>
        <v>Esp. Tij.</v>
      </c>
      <c r="G418" s="661" t="str">
        <f t="shared" si="75"/>
        <v>Comp. Tij.</v>
      </c>
      <c r="H418" s="661" t="str">
        <f t="shared" si="75"/>
        <v>Larg. Tij.</v>
      </c>
      <c r="I418" s="661" t="str">
        <f t="shared" si="75"/>
        <v>Tipo Fator</v>
      </c>
      <c r="J418" s="661" t="str">
        <f t="shared" si="75"/>
        <v>Vol.</v>
      </c>
      <c r="K418" s="661" t="str">
        <f t="shared" si="75"/>
        <v>Class.</v>
      </c>
      <c r="L418" s="661" t="str">
        <f t="shared" si="75"/>
        <v>Coefic. (%)</v>
      </c>
      <c r="M418" s="195"/>
      <c r="N418" s="195"/>
      <c r="O418" s="195"/>
      <c r="P418" s="195"/>
      <c r="Q418" s="195"/>
      <c r="R418" s="195"/>
      <c r="S418" s="195"/>
      <c r="T418" s="195"/>
      <c r="U418" s="195"/>
      <c r="V418" s="242"/>
      <c r="W418" s="185"/>
      <c r="X418" s="141"/>
      <c r="Z418" s="187"/>
      <c r="AA418" s="187"/>
    </row>
    <row r="419" spans="1:27" s="186" customFormat="1" ht="15" customHeight="1" thickBot="1">
      <c r="A419" s="215"/>
      <c r="B419" s="194"/>
      <c r="C419" s="133">
        <f>SUMIF(Densidades!A:A,'Memória TOTAL'!X419,Densidades!B:B)</f>
        <v>0</v>
      </c>
      <c r="D419" s="134">
        <f>SUMIF(Densidades!A:A,'Memória TOTAL'!X419,Densidades!C:C)</f>
        <v>620</v>
      </c>
      <c r="E419" s="135">
        <f>SUMIF(Formatos!A:A,'Memória TOTAL'!X420,Formatos!E:E)</f>
        <v>0</v>
      </c>
      <c r="F419" s="135">
        <f>SUMIF(Formatos!A:A,'Memória TOTAL'!X420,Formatos!F:F)</f>
        <v>0</v>
      </c>
      <c r="G419" s="135">
        <f>SUMIF(Formatos!A:A,'Memória TOTAL'!X420,Formatos!C:C)</f>
        <v>0</v>
      </c>
      <c r="H419" s="135">
        <f>SUMIF(Formatos!A:A,'Memória TOTAL'!X420,Formatos!D:D)</f>
        <v>0</v>
      </c>
      <c r="I419" s="135">
        <f>SUMIF(Densidades!A:A,'Memória TOTAL'!X419,Densidades!H:H)</f>
        <v>0</v>
      </c>
      <c r="J419" s="136">
        <f>SUMIF(Formatos!A:A,'Memória TOTAL'!X420,Formatos!G:G)</f>
        <v>0</v>
      </c>
      <c r="K419" s="222">
        <f>SUMIF(Densidades!A:A,'Memória TOTAL'!X419,Densidades!I:I)</f>
        <v>177</v>
      </c>
      <c r="L419" s="223">
        <v>0</v>
      </c>
      <c r="M419" s="195"/>
      <c r="N419" s="195"/>
      <c r="O419" s="788" t="s">
        <v>1015</v>
      </c>
      <c r="P419" s="789"/>
      <c r="Q419" s="789"/>
      <c r="R419" s="789"/>
      <c r="S419" s="790"/>
      <c r="T419" s="232"/>
      <c r="U419" s="235"/>
      <c r="V419" s="686" t="str">
        <f>IFERROR(IF(SUM(T429:T479)=0,"-",SUM(T429:T479)),"-")</f>
        <v>-</v>
      </c>
      <c r="W419" s="193" t="str">
        <f>IF(V419="-","",ROUNDUP(SUM(V419)*(1+L419),0))</f>
        <v/>
      </c>
      <c r="X419" s="141" t="str">
        <f>IF(X415="","",X415)</f>
        <v/>
      </c>
      <c r="Z419" s="187"/>
      <c r="AA419" s="187"/>
    </row>
    <row r="420" spans="1:27" s="186" customFormat="1" ht="15" customHeight="1" thickBot="1">
      <c r="A420" s="215"/>
      <c r="B420" s="194"/>
      <c r="C420" s="200"/>
      <c r="D420" s="195"/>
      <c r="E420" s="195"/>
      <c r="F420" s="195"/>
      <c r="G420" s="195"/>
      <c r="H420" s="195"/>
      <c r="I420" s="195"/>
      <c r="J420" s="196"/>
      <c r="K420" s="196"/>
      <c r="L420" s="144"/>
      <c r="M420" s="195"/>
      <c r="N420" s="642"/>
      <c r="O420" s="665" t="s">
        <v>2278</v>
      </c>
      <c r="P420" s="666" t="s">
        <v>1075</v>
      </c>
      <c r="Q420" s="666" t="s">
        <v>2277</v>
      </c>
      <c r="R420" s="666" t="s">
        <v>7</v>
      </c>
      <c r="S420" s="687" t="s">
        <v>15</v>
      </c>
      <c r="T420" s="195"/>
      <c r="U420" s="195"/>
      <c r="V420" s="197"/>
      <c r="W420" s="185"/>
      <c r="X420" s="141" t="str">
        <f>IF(X419="","",O422)</f>
        <v/>
      </c>
      <c r="Z420" s="187"/>
      <c r="AA420" s="187"/>
    </row>
    <row r="421" spans="1:27" s="186" customFormat="1" ht="15" customHeight="1">
      <c r="A421" s="215"/>
      <c r="B421" s="194"/>
      <c r="C421" s="660"/>
      <c r="D421" s="241"/>
      <c r="E421" s="241"/>
      <c r="F421" s="241"/>
      <c r="G421" s="241"/>
      <c r="H421" s="241"/>
      <c r="I421" s="241"/>
      <c r="J421" s="642"/>
      <c r="K421" s="642"/>
      <c r="L421" s="172"/>
      <c r="M421" s="195"/>
      <c r="N421" s="662" t="s">
        <v>2272</v>
      </c>
      <c r="O421" s="689"/>
      <c r="P421" s="320" t="str">
        <f>IF(O421="","",IF(VLOOKUP(O421,Formatos!A:F,2,FALSE)="S",IF(VLOOKUP(O422,Formatos!A:F,2,FALSE)="W",VLOOKUP(O422,Formatos!A:F,4,FALSE),VLOOKUP(O422,Formatos!A:F,3,FALSE)),IF(VLOOKUP(O421,Formatos!A:F,2,FALSE)="W",VLOOKUP(O421,Formatos!A:F,4,FALSE),VLOOKUP(O421,Formatos!A:F,3,FALSE))))</f>
        <v/>
      </c>
      <c r="Q421" s="320" t="str">
        <f>IF(O421="","",IF(VLOOKUP(O421,Formatos!A:F,2,FALSE)="S",IF(VLOOKUP(O422,Formatos!A:F,2,FALSE)="W",VLOOKUP(O422,Formatos!A:F,3,FALSE),VLOOKUP(O422,Formatos!A:F,4,FALSE)),IF(VLOOKUP(O421,Formatos!A:F,2,FALSE)="W",VLOOKUP(O421,Formatos!A:F,3,FALSE),VLOOKUP(O421,Formatos!A:F,4,FALSE))))</f>
        <v/>
      </c>
      <c r="R421" s="692" t="str">
        <f>IF(O421="","",VLOOKUP(O421,Formatos!A:F,5,FALSE)+P415)</f>
        <v/>
      </c>
      <c r="S421" s="693" t="str">
        <f>IF(O421="","",VLOOKUP(O421,Formatos!A:F,6,FALSE)+P415)</f>
        <v/>
      </c>
      <c r="T421" s="195"/>
      <c r="U421" s="195"/>
      <c r="V421" s="197"/>
      <c r="W421" s="185"/>
      <c r="X421" s="141" t="s">
        <v>524</v>
      </c>
      <c r="Z421" s="187"/>
      <c r="AA421" s="187"/>
    </row>
    <row r="422" spans="1:27" s="186" customFormat="1" ht="15" customHeight="1" thickBot="1">
      <c r="A422" s="215"/>
      <c r="B422" s="194"/>
      <c r="C422" s="219" t="str">
        <f t="shared" ref="C422:L422" si="76">C418</f>
        <v>Dens.</v>
      </c>
      <c r="D422" s="661" t="str">
        <f t="shared" si="76"/>
        <v>Emb.</v>
      </c>
      <c r="E422" s="661" t="str">
        <f t="shared" si="76"/>
        <v>Esp. Tij.</v>
      </c>
      <c r="F422" s="661" t="str">
        <f t="shared" si="76"/>
        <v>Esp. Tij.</v>
      </c>
      <c r="G422" s="661" t="str">
        <f t="shared" si="76"/>
        <v>Comp. Tij.</v>
      </c>
      <c r="H422" s="661" t="str">
        <f t="shared" si="76"/>
        <v>Larg. Tij.</v>
      </c>
      <c r="I422" s="661" t="str">
        <f t="shared" si="76"/>
        <v>Tipo Fator</v>
      </c>
      <c r="J422" s="661" t="str">
        <f t="shared" si="76"/>
        <v>Vol.</v>
      </c>
      <c r="K422" s="661" t="str">
        <f t="shared" si="76"/>
        <v>Class.</v>
      </c>
      <c r="L422" s="661" t="str">
        <f t="shared" si="76"/>
        <v>Coefic. (%)</v>
      </c>
      <c r="M422" s="195"/>
      <c r="N422" s="663" t="s">
        <v>2273</v>
      </c>
      <c r="O422" s="690"/>
      <c r="P422" s="320" t="str">
        <f>IF(O422="","",IF(VLOOKUP(O422,Formatos!A:F,2,FALSE)="S",IF(VLOOKUP(O423,Formatos!A:F,2,FALSE)="W",VLOOKUP(O423,Formatos!A:F,4,FALSE),VLOOKUP(O423,Formatos!A:F,3,FALSE)),IF(VLOOKUP(O422,Formatos!A:F,2,FALSE)="W",VLOOKUP(O422,Formatos!A:F,4,FALSE),VLOOKUP(O422,Formatos!A:F,3,FALSE))))</f>
        <v/>
      </c>
      <c r="Q422" s="320" t="str">
        <f>IF(O422="","",IF(VLOOKUP(O422,Formatos!A:F,2,FALSE)="S",IF(VLOOKUP(O423,Formatos!A:F,2,FALSE)="W",VLOOKUP(O423,Formatos!A:F,3,FALSE),VLOOKUP(O423,Formatos!A:F,4,FALSE)),IF(VLOOKUP(O422,Formatos!A:F,2,FALSE)="W",VLOOKUP(O422,Formatos!A:F,3,FALSE),VLOOKUP(O422,Formatos!A:F,4,FALSE))))</f>
        <v/>
      </c>
      <c r="R422" s="692" t="str">
        <f>IF(O422="","",VLOOKUP(O422,Formatos!A:F,5,FALSE)+P415)</f>
        <v/>
      </c>
      <c r="S422" s="693" t="str">
        <f>IF(O422="","",VLOOKUP(O422,Formatos!A:F,6,FALSE)+P415)</f>
        <v/>
      </c>
      <c r="T422" s="195"/>
      <c r="U422" s="195"/>
      <c r="V422" s="242"/>
      <c r="W422" s="185"/>
      <c r="X422" s="141"/>
      <c r="Z422" s="187"/>
      <c r="AA422" s="187"/>
    </row>
    <row r="423" spans="1:27" s="186" customFormat="1" ht="15" customHeight="1" thickBot="1">
      <c r="A423" s="215"/>
      <c r="B423" s="194"/>
      <c r="C423" s="133">
        <f>SUMIF(Densidades!A:A,'Memória TOTAL'!X423,Densidades!B:B)</f>
        <v>0</v>
      </c>
      <c r="D423" s="134">
        <f>SUMIF(Densidades!A:A,'Memória TOTAL'!X423,Densidades!C:C)</f>
        <v>620</v>
      </c>
      <c r="E423" s="135">
        <f>SUMIF(Formatos!A:A,'Memória TOTAL'!X424,Formatos!E:E)</f>
        <v>0</v>
      </c>
      <c r="F423" s="135">
        <f>SUMIF(Formatos!A:A,'Memória TOTAL'!X424,Formatos!F:F)</f>
        <v>0</v>
      </c>
      <c r="G423" s="135">
        <f>SUMIF(Formatos!A:A,'Memória TOTAL'!X424,Formatos!C:C)</f>
        <v>0</v>
      </c>
      <c r="H423" s="135">
        <f>SUMIF(Formatos!A:A,'Memória TOTAL'!X424,Formatos!D:D)</f>
        <v>0</v>
      </c>
      <c r="I423" s="135">
        <f>SUMIF(Densidades!A:A,'Memória TOTAL'!X423,Densidades!H:H)</f>
        <v>0</v>
      </c>
      <c r="J423" s="136">
        <f>SUMIF(Formatos!A:A,'Memória TOTAL'!X424,Formatos!G:G)</f>
        <v>0</v>
      </c>
      <c r="K423" s="222">
        <f>SUMIF(Densidades!A:A,'Memória TOTAL'!X423,Densidades!I:I)</f>
        <v>177</v>
      </c>
      <c r="L423" s="223">
        <v>0</v>
      </c>
      <c r="M423" s="195"/>
      <c r="N423" s="664" t="s">
        <v>2274</v>
      </c>
      <c r="O423" s="691"/>
      <c r="P423" s="688" t="str">
        <f>IF(O423="","",IF(VLOOKUP(O423,Formatos!A:F,2,FALSE)="S",IF(VLOOKUP(#REF!,Formatos!A:F,2,FALSE)="W",VLOOKUP(#REF!,Formatos!A:F,4,FALSE),VLOOKUP(#REF!,Formatos!A:F,3,FALSE)),IF(VLOOKUP(O423,Formatos!A:F,2,FALSE)="W",VLOOKUP(O423,Formatos!A:F,4,FALSE),VLOOKUP(O423,Formatos!A:F,3,FALSE))))</f>
        <v/>
      </c>
      <c r="Q423" s="688" t="str">
        <f>IF(O423="","",IF(VLOOKUP(O423,Formatos!A:F,2,FALSE)="S",IF(VLOOKUP(#REF!,Formatos!A:F,2,FALSE)="W",VLOOKUP(#REF!,Formatos!A:F,3,FALSE),VLOOKUP(#REF!,Formatos!A:F,4,FALSE)),IF(VLOOKUP(O423,Formatos!A:F,2,FALSE)="W",VLOOKUP(O423,Formatos!A:F,3,FALSE),VLOOKUP(O423,Formatos!A:F,4,FALSE))))</f>
        <v/>
      </c>
      <c r="R423" s="694" t="str">
        <f>IF(O423="","",VLOOKUP(O423,Formatos!A:F,5,FALSE)+P415)</f>
        <v/>
      </c>
      <c r="S423" s="695" t="str">
        <f>IF(O423="","",VLOOKUP(O423,Formatos!A:F,6,FALSE)+P415)</f>
        <v/>
      </c>
      <c r="T423" s="232"/>
      <c r="U423" s="235"/>
      <c r="V423" s="686" t="str">
        <f>IFERROR(IF(SUM(U429:U479)=0,"-",SUM(U429:U479)),"-")</f>
        <v>-</v>
      </c>
      <c r="W423" s="193" t="str">
        <f>IF(V423="-","",ROUNDUP(SUM(V423)*(1+L423),0))</f>
        <v/>
      </c>
      <c r="X423" s="141" t="str">
        <f>X419</f>
        <v/>
      </c>
      <c r="Z423" s="187"/>
      <c r="AA423" s="187"/>
    </row>
    <row r="424" spans="1:27" s="186" customFormat="1" ht="15" customHeight="1">
      <c r="A424" s="215"/>
      <c r="B424" s="194"/>
      <c r="C424" s="200"/>
      <c r="D424" s="195"/>
      <c r="E424" s="195"/>
      <c r="F424" s="195"/>
      <c r="G424" s="195"/>
      <c r="H424" s="195"/>
      <c r="I424" s="195"/>
      <c r="J424" s="196"/>
      <c r="K424" s="196"/>
      <c r="L424" s="144"/>
      <c r="M424" s="195"/>
      <c r="N424" s="195"/>
      <c r="O424" s="195"/>
      <c r="P424" s="195"/>
      <c r="Q424" s="195"/>
      <c r="R424" s="195"/>
      <c r="S424" s="195"/>
      <c r="T424" s="195"/>
      <c r="U424" s="195"/>
      <c r="V424" s="197"/>
      <c r="W424" s="185"/>
      <c r="X424" s="141" t="str">
        <f>IF(X423="","",O423)</f>
        <v/>
      </c>
      <c r="Z424" s="187"/>
      <c r="AA424" s="187"/>
    </row>
    <row r="425" spans="1:27" s="186" customFormat="1" ht="15" customHeight="1">
      <c r="A425" s="215"/>
      <c r="B425" s="194"/>
      <c r="C425" s="200"/>
      <c r="D425" s="195"/>
      <c r="E425" s="195"/>
      <c r="F425" s="195"/>
      <c r="G425" s="195"/>
      <c r="H425" s="195"/>
      <c r="I425" s="195"/>
      <c r="J425" s="196"/>
      <c r="K425" s="196"/>
      <c r="L425" s="144"/>
      <c r="M425" s="195"/>
      <c r="N425" s="195"/>
      <c r="O425" s="195"/>
      <c r="P425" s="195"/>
      <c r="Q425" s="195"/>
      <c r="R425" s="195"/>
      <c r="S425" s="195"/>
      <c r="T425" s="195"/>
      <c r="U425" s="195"/>
      <c r="V425" s="197"/>
      <c r="W425" s="185"/>
      <c r="X425" s="141" t="s">
        <v>524</v>
      </c>
      <c r="Z425" s="187"/>
      <c r="AA425" s="187"/>
    </row>
    <row r="426" spans="1:27" s="186" customFormat="1" ht="15" customHeight="1" thickBot="1">
      <c r="A426" s="215"/>
      <c r="B426" s="194"/>
      <c r="C426" s="200"/>
      <c r="D426" s="195"/>
      <c r="E426" s="195"/>
      <c r="F426" s="195"/>
      <c r="G426" s="195"/>
      <c r="H426" s="195"/>
      <c r="I426" s="195"/>
      <c r="J426" s="196"/>
      <c r="K426" s="196"/>
      <c r="L426" s="196"/>
      <c r="M426" s="195"/>
      <c r="N426" s="195"/>
      <c r="O426" s="195"/>
      <c r="P426" s="195"/>
      <c r="Q426" s="195"/>
      <c r="R426" s="195"/>
      <c r="S426" s="241"/>
      <c r="T426" s="241"/>
      <c r="U426" s="241"/>
      <c r="V426" s="197"/>
      <c r="W426" s="185"/>
      <c r="X426" s="141"/>
      <c r="Z426" s="187"/>
      <c r="AA426" s="187"/>
    </row>
    <row r="427" spans="1:27" s="186" customFormat="1" ht="15" customHeight="1" thickBot="1">
      <c r="A427" s="215"/>
      <c r="B427" s="194"/>
      <c r="C427" s="660"/>
      <c r="D427" s="236"/>
      <c r="E427" s="195"/>
      <c r="F427" s="195"/>
      <c r="G427" s="195"/>
      <c r="H427" s="195"/>
      <c r="I427" s="195"/>
      <c r="J427" s="196"/>
      <c r="K427" s="641"/>
      <c r="L427" s="642"/>
      <c r="M427" s="241"/>
      <c r="N427" s="241"/>
      <c r="O427" s="241"/>
      <c r="P427" s="673" t="s">
        <v>2272</v>
      </c>
      <c r="Q427" s="683" t="s">
        <v>2273</v>
      </c>
      <c r="R427" s="684" t="s">
        <v>2274</v>
      </c>
      <c r="S427" s="673" t="s">
        <v>2272</v>
      </c>
      <c r="T427" s="683" t="s">
        <v>2273</v>
      </c>
      <c r="U427" s="684" t="s">
        <v>2274</v>
      </c>
      <c r="V427" s="333"/>
      <c r="W427" s="185"/>
      <c r="X427" s="141"/>
      <c r="Z427" s="187"/>
      <c r="AA427" s="187"/>
    </row>
    <row r="428" spans="1:27" s="186" customFormat="1" ht="15" customHeight="1" thickBot="1">
      <c r="A428" s="215"/>
      <c r="B428" s="194"/>
      <c r="C428" s="672" t="s">
        <v>2279</v>
      </c>
      <c r="D428" s="236"/>
      <c r="E428" s="195"/>
      <c r="F428" s="195"/>
      <c r="G428" s="195"/>
      <c r="H428" s="195"/>
      <c r="I428" s="195"/>
      <c r="J428" s="196"/>
      <c r="K428" s="641"/>
      <c r="L428" s="673" t="s">
        <v>2271</v>
      </c>
      <c r="M428" s="674" t="s">
        <v>2275</v>
      </c>
      <c r="N428" s="675" t="s">
        <v>2276</v>
      </c>
      <c r="O428" s="676" t="s">
        <v>1022</v>
      </c>
      <c r="P428" s="677" t="str">
        <f>IF(O421="","",O421)</f>
        <v/>
      </c>
      <c r="Q428" s="678" t="str">
        <f>IF(O422="","",O422)</f>
        <v/>
      </c>
      <c r="R428" s="679" t="str">
        <f>IF(O423="","",O423)</f>
        <v/>
      </c>
      <c r="S428" s="680" t="str">
        <f>IF(O421="","",O421)</f>
        <v/>
      </c>
      <c r="T428" s="681" t="str">
        <f>IF(O422="","",O422)</f>
        <v/>
      </c>
      <c r="U428" s="682" t="str">
        <f>IF(O423="","",O423)</f>
        <v/>
      </c>
      <c r="V428" s="333"/>
      <c r="W428" s="185"/>
      <c r="X428" s="141"/>
      <c r="Z428" s="187"/>
      <c r="AA428" s="187"/>
    </row>
    <row r="429" spans="1:27" s="186" customFormat="1" ht="15" customHeight="1">
      <c r="A429" s="215"/>
      <c r="B429" s="168"/>
      <c r="C429" s="667" t="str">
        <f>IF(Q415="","",1)</f>
        <v/>
      </c>
      <c r="D429" s="236"/>
      <c r="E429" s="195"/>
      <c r="F429" s="195"/>
      <c r="G429" s="195"/>
      <c r="H429" s="195"/>
      <c r="I429" s="195"/>
      <c r="J429" s="196"/>
      <c r="K429" s="641"/>
      <c r="L429" s="646" t="str">
        <f>IF(C429="","",N415)</f>
        <v/>
      </c>
      <c r="M429" s="706" t="str">
        <f>IF(C429="","",L429-Q422*COS(O415*PI()/180))</f>
        <v/>
      </c>
      <c r="N429" s="707" t="str">
        <f>IF(C429="","",L429+P422*SIN(O415*PI()/180))</f>
        <v/>
      </c>
      <c r="O429" s="653" t="str">
        <f>IF(C429="","-",360)</f>
        <v>-</v>
      </c>
      <c r="P429" s="701" t="str">
        <f>IF(C429="","",(PI()*O429/180*(R423*M429-N429*S423)-Q429*(S422*R423-S423*R422))/S421/(R423-S423))</f>
        <v/>
      </c>
      <c r="Q429" s="702" t="str">
        <f>IF(C429="","",O429/180*PI()*(L429-M429)/(R422-S422))</f>
        <v/>
      </c>
      <c r="R429" s="650" t="str">
        <f>IF(C429="","",(O429/180*PI()*N429-Q429*R422-S429*S421)/R423)</f>
        <v/>
      </c>
      <c r="S429" s="649" t="str">
        <f>IF(C429="","",ROUNDUP(P429,0))</f>
        <v/>
      </c>
      <c r="T429" s="696" t="str">
        <f>IF(C429="","",ROUNDUP(Q429,0))</f>
        <v/>
      </c>
      <c r="U429" s="697" t="str">
        <f>IF(C429="","",ROUNDUP(R429,0))</f>
        <v/>
      </c>
      <c r="V429" s="333"/>
      <c r="W429" s="185"/>
      <c r="X429" s="141"/>
      <c r="Z429" s="187"/>
      <c r="AA429" s="187"/>
    </row>
    <row r="430" spans="1:27" s="186" customFormat="1" ht="15" customHeight="1">
      <c r="A430" s="215"/>
      <c r="B430" s="168"/>
      <c r="C430" s="668" t="str">
        <f>IF(Q415="","",IF(C429="","",IF(C429+1&lt;=Q415,C429+1,"")))</f>
        <v/>
      </c>
      <c r="D430" s="236"/>
      <c r="E430" s="195"/>
      <c r="F430" s="195"/>
      <c r="G430" s="195"/>
      <c r="H430" s="195"/>
      <c r="I430" s="195"/>
      <c r="J430" s="196"/>
      <c r="K430" s="641"/>
      <c r="L430" s="647" t="str">
        <f>IF(C430="","",N429)</f>
        <v/>
      </c>
      <c r="M430" s="651" t="str">
        <f>IF(C430="","",L430-Q422*COS(O415*PI()/180))</f>
        <v/>
      </c>
      <c r="N430" s="652" t="str">
        <f>IF(C430="","",L430+P422*SIN(O415*PI()/180))</f>
        <v/>
      </c>
      <c r="O430" s="644" t="str">
        <f>IF(C430="","-",O429)</f>
        <v>-</v>
      </c>
      <c r="P430" s="654" t="str">
        <f>IF(C430="","",(PI()*O430/180*(R423*M430-N430*S423)-Q430*(S422*R423-S423*R422))/S421/(R423-S423))</f>
        <v/>
      </c>
      <c r="Q430" s="655" t="str">
        <f>IF(C430="","",O430/180*PI()*(L430-M430)/(R422-S422))</f>
        <v/>
      </c>
      <c r="R430" s="656" t="str">
        <f>IF(C430="","",(O430/180*PI()*N430-Q430*R422-S430*S421)/R423)</f>
        <v/>
      </c>
      <c r="S430" s="657" t="str">
        <f t="shared" ref="S430:S478" si="77">IF(C430="","",ROUNDUP(P430,0))</f>
        <v/>
      </c>
      <c r="T430" s="670" t="str">
        <f t="shared" ref="T430:T478" si="78">IF(C430="","",ROUNDUP(Q430,0))</f>
        <v/>
      </c>
      <c r="U430" s="671" t="str">
        <f t="shared" ref="U430:U478" si="79">IF(C430="","",ROUNDUP(R430,0))</f>
        <v/>
      </c>
      <c r="V430" s="333"/>
      <c r="W430" s="185"/>
      <c r="X430" s="141"/>
      <c r="Z430" s="187"/>
      <c r="AA430" s="187"/>
    </row>
    <row r="431" spans="1:27" s="186" customFormat="1" ht="15" customHeight="1">
      <c r="A431" s="215"/>
      <c r="B431" s="168"/>
      <c r="C431" s="668" t="str">
        <f>IF(Q415="","",IF(C430="","",IF(C430+1&lt;=Q415,C430+1,"")))</f>
        <v/>
      </c>
      <c r="D431" s="236"/>
      <c r="E431" s="195"/>
      <c r="F431" s="195"/>
      <c r="G431" s="195"/>
      <c r="H431" s="195"/>
      <c r="I431" s="195"/>
      <c r="J431" s="196"/>
      <c r="K431" s="641"/>
      <c r="L431" s="647" t="str">
        <f t="shared" ref="L431:L478" si="80">IF(C431="","",N430)</f>
        <v/>
      </c>
      <c r="M431" s="651" t="str">
        <f>IF(C431="","",L431-Q422*COS(O415*PI()/180))</f>
        <v/>
      </c>
      <c r="N431" s="652" t="str">
        <f>IF(C431="","",L431+P422*SIN(O415*PI()/180))</f>
        <v/>
      </c>
      <c r="O431" s="644" t="str">
        <f t="shared" ref="O431:O478" si="81">O430</f>
        <v>-</v>
      </c>
      <c r="P431" s="654" t="str">
        <f>IF(C431="","",(PI()*O431/180*(R423*M431-N431*S423)-Q431*(S422*R423-S423*R422))/S421/(R423-S423))</f>
        <v/>
      </c>
      <c r="Q431" s="655" t="str">
        <f>IF(C431="","",O431/180*PI()*(L431-M431)/(R422-S422))</f>
        <v/>
      </c>
      <c r="R431" s="656" t="str">
        <f>IF(C431="","",(O431/180*PI()*N431-Q431*R422-S431*S421)/R423)</f>
        <v/>
      </c>
      <c r="S431" s="657" t="str">
        <f t="shared" si="77"/>
        <v/>
      </c>
      <c r="T431" s="670" t="str">
        <f t="shared" si="78"/>
        <v/>
      </c>
      <c r="U431" s="671" t="str">
        <f t="shared" si="79"/>
        <v/>
      </c>
      <c r="V431" s="333"/>
      <c r="W431" s="185"/>
      <c r="X431" s="141"/>
      <c r="Z431" s="187"/>
      <c r="AA431" s="187"/>
    </row>
    <row r="432" spans="1:27" s="186" customFormat="1" ht="15" customHeight="1">
      <c r="A432" s="215"/>
      <c r="B432" s="168"/>
      <c r="C432" s="668" t="str">
        <f>IF(Q415="","",IF(C431="","",IF(C431+1&lt;=Q415,C431+1,"")))</f>
        <v/>
      </c>
      <c r="D432" s="236"/>
      <c r="E432" s="195"/>
      <c r="F432" s="195"/>
      <c r="G432" s="195"/>
      <c r="H432" s="195"/>
      <c r="I432" s="195"/>
      <c r="J432" s="196"/>
      <c r="K432" s="641"/>
      <c r="L432" s="647" t="str">
        <f t="shared" si="80"/>
        <v/>
      </c>
      <c r="M432" s="651" t="str">
        <f>IF(C432="","",L432-Q422*COS(O415*PI()/180))</f>
        <v/>
      </c>
      <c r="N432" s="652" t="str">
        <f>IF(C432="","",L432+P422*SIN(O415*PI()/180))</f>
        <v/>
      </c>
      <c r="O432" s="644" t="str">
        <f t="shared" si="81"/>
        <v>-</v>
      </c>
      <c r="P432" s="654" t="str">
        <f>IF(C432="","",(PI()*O432/180*(R423*M432-N432*S423)-Q432*(S422*R423-S423*R422))/S421/(R423-S423))</f>
        <v/>
      </c>
      <c r="Q432" s="655" t="str">
        <f>IF(C432="","",O432/180*PI()*(L432-M432)/(R422-S422))</f>
        <v/>
      </c>
      <c r="R432" s="656" t="str">
        <f>IF(C432="","",(O432/180*PI()*N432-Q432*R422-S432*S421)/R423)</f>
        <v/>
      </c>
      <c r="S432" s="657" t="str">
        <f t="shared" si="77"/>
        <v/>
      </c>
      <c r="T432" s="670" t="str">
        <f t="shared" si="78"/>
        <v/>
      </c>
      <c r="U432" s="671" t="str">
        <f t="shared" si="79"/>
        <v/>
      </c>
      <c r="V432" s="333"/>
      <c r="W432" s="185"/>
      <c r="X432" s="141"/>
      <c r="Z432" s="187"/>
      <c r="AA432" s="187"/>
    </row>
    <row r="433" spans="1:27" s="186" customFormat="1" ht="15" customHeight="1">
      <c r="A433" s="215"/>
      <c r="B433" s="168"/>
      <c r="C433" s="668" t="str">
        <f>IF(Q415="","",IF(C432="","",IF(C432+1&lt;=Q415,C432+1,"")))</f>
        <v/>
      </c>
      <c r="D433" s="236"/>
      <c r="E433" s="195"/>
      <c r="F433" s="195"/>
      <c r="G433" s="195"/>
      <c r="H433" s="195"/>
      <c r="I433" s="195"/>
      <c r="J433" s="196"/>
      <c r="K433" s="641"/>
      <c r="L433" s="647" t="str">
        <f t="shared" si="80"/>
        <v/>
      </c>
      <c r="M433" s="651" t="str">
        <f>IF(C433="","",L433-Q422*COS(O415*PI()/180))</f>
        <v/>
      </c>
      <c r="N433" s="652" t="str">
        <f>IF(C433="","",L433+P422*SIN(O415*PI()/180))</f>
        <v/>
      </c>
      <c r="O433" s="644" t="str">
        <f t="shared" si="81"/>
        <v>-</v>
      </c>
      <c r="P433" s="654" t="str">
        <f>IF(C433="","",(PI()*O433/180*(R423*M433-N433*S423)-Q433*(S422*R423-S423*R422))/S421/(R423-S423))</f>
        <v/>
      </c>
      <c r="Q433" s="655" t="str">
        <f>IF(C433="","",O433/180*PI()*(L433-M433)/(R422-S422))</f>
        <v/>
      </c>
      <c r="R433" s="656" t="str">
        <f>IF(C433="","",(O433/180*PI()*N433-Q433*R422-S433*S421)/R423)</f>
        <v/>
      </c>
      <c r="S433" s="657" t="str">
        <f t="shared" si="77"/>
        <v/>
      </c>
      <c r="T433" s="670" t="str">
        <f t="shared" si="78"/>
        <v/>
      </c>
      <c r="U433" s="671" t="str">
        <f t="shared" si="79"/>
        <v/>
      </c>
      <c r="V433" s="333"/>
      <c r="W433" s="185"/>
      <c r="X433" s="141"/>
      <c r="Z433" s="187"/>
      <c r="AA433" s="187"/>
    </row>
    <row r="434" spans="1:27" s="186" customFormat="1" ht="15" customHeight="1">
      <c r="A434" s="215"/>
      <c r="B434" s="168"/>
      <c r="C434" s="668" t="str">
        <f>IF(Q415="","",IF(C433="","",IF(C433+1&lt;=Q415,C433+1,"")))</f>
        <v/>
      </c>
      <c r="D434" s="236"/>
      <c r="E434" s="195"/>
      <c r="F434" s="195"/>
      <c r="G434" s="195"/>
      <c r="H434" s="195"/>
      <c r="I434" s="195"/>
      <c r="J434" s="196"/>
      <c r="K434" s="641"/>
      <c r="L434" s="647" t="str">
        <f t="shared" si="80"/>
        <v/>
      </c>
      <c r="M434" s="651" t="str">
        <f>IF(C434="","",L434-Q422*COS(O415*PI()/180))</f>
        <v/>
      </c>
      <c r="N434" s="652" t="str">
        <f>IF(C434="","",L434+P422*SIN(O415*PI()/180))</f>
        <v/>
      </c>
      <c r="O434" s="644" t="str">
        <f t="shared" si="81"/>
        <v>-</v>
      </c>
      <c r="P434" s="654" t="str">
        <f>IF(C434="","",(PI()*O434/180*(R423*M434-N434*S423)-Q434*(S422*R423-S423*R422))/S421/(R423-S423))</f>
        <v/>
      </c>
      <c r="Q434" s="655" t="str">
        <f>IF(C434="","",O434/180*PI()*(L434-M434)/(R422-S422))</f>
        <v/>
      </c>
      <c r="R434" s="656" t="str">
        <f>IF(C434="","",(O434/180*PI()*N434-Q434*R422-S434*S421)/R423)</f>
        <v/>
      </c>
      <c r="S434" s="657" t="str">
        <f t="shared" si="77"/>
        <v/>
      </c>
      <c r="T434" s="670" t="str">
        <f t="shared" si="78"/>
        <v/>
      </c>
      <c r="U434" s="671" t="str">
        <f t="shared" si="79"/>
        <v/>
      </c>
      <c r="V434" s="333"/>
      <c r="W434" s="185"/>
      <c r="X434" s="141"/>
      <c r="Z434" s="187"/>
      <c r="AA434" s="187"/>
    </row>
    <row r="435" spans="1:27" s="186" customFormat="1" ht="15" customHeight="1">
      <c r="A435" s="215"/>
      <c r="B435" s="168"/>
      <c r="C435" s="668" t="str">
        <f>IF(Q415="","",IF(C434="","",IF(C434+1&lt;=Q415,C434+1,"")))</f>
        <v/>
      </c>
      <c r="D435" s="236"/>
      <c r="E435" s="195"/>
      <c r="F435" s="195"/>
      <c r="G435" s="195"/>
      <c r="H435" s="195"/>
      <c r="I435" s="195"/>
      <c r="J435" s="196"/>
      <c r="K435" s="641"/>
      <c r="L435" s="647" t="str">
        <f t="shared" si="80"/>
        <v/>
      </c>
      <c r="M435" s="651" t="str">
        <f>IF(C435="","",L435-Q422*COS(O415*PI()/180))</f>
        <v/>
      </c>
      <c r="N435" s="652" t="str">
        <f>IF(C435="","",L435+P422*SIN(O415*PI()/180))</f>
        <v/>
      </c>
      <c r="O435" s="644" t="str">
        <f t="shared" si="81"/>
        <v>-</v>
      </c>
      <c r="P435" s="654" t="str">
        <f>IF(C435="","",(PI()*O435/180*(R423*M435-N435*S423)-Q435*(S422*R423-S423*R422))/S421/(R423-S423))</f>
        <v/>
      </c>
      <c r="Q435" s="655" t="str">
        <f>IF(C435="","",O435/180*PI()*(L435-M435)/(R422-S422))</f>
        <v/>
      </c>
      <c r="R435" s="656" t="str">
        <f>IF(C435="","",(O435/180*PI()*N435-Q435*R422-S435*S421)/R423)</f>
        <v/>
      </c>
      <c r="S435" s="657" t="str">
        <f t="shared" si="77"/>
        <v/>
      </c>
      <c r="T435" s="670" t="str">
        <f t="shared" si="78"/>
        <v/>
      </c>
      <c r="U435" s="671" t="str">
        <f t="shared" si="79"/>
        <v/>
      </c>
      <c r="V435" s="333"/>
      <c r="W435" s="185"/>
      <c r="X435" s="141"/>
      <c r="Z435" s="187"/>
      <c r="AA435" s="187"/>
    </row>
    <row r="436" spans="1:27" s="186" customFormat="1" ht="15" customHeight="1">
      <c r="A436" s="215"/>
      <c r="B436" s="168"/>
      <c r="C436" s="668" t="str">
        <f>IF(Q415="","",IF(C435="","",IF(C435+1&lt;=Q415,C435+1,"")))</f>
        <v/>
      </c>
      <c r="D436" s="236"/>
      <c r="E436" s="195"/>
      <c r="F436" s="195"/>
      <c r="G436" s="195"/>
      <c r="H436" s="195"/>
      <c r="I436" s="195"/>
      <c r="J436" s="196"/>
      <c r="K436" s="641"/>
      <c r="L436" s="647" t="str">
        <f t="shared" si="80"/>
        <v/>
      </c>
      <c r="M436" s="651" t="str">
        <f>IF(C436="","",L436-Q422*COS(O415*PI()/180))</f>
        <v/>
      </c>
      <c r="N436" s="652" t="str">
        <f>IF(C436="","",L436+P422*SIN(O415*PI()/180))</f>
        <v/>
      </c>
      <c r="O436" s="644" t="str">
        <f t="shared" si="81"/>
        <v>-</v>
      </c>
      <c r="P436" s="654" t="str">
        <f>IF(C436="","",(PI()*O436/180*(R423*M436-N436*S423)-Q436*(S422*R423-S423*R422))/S421/(R423-S423))</f>
        <v/>
      </c>
      <c r="Q436" s="655" t="str">
        <f>IF(C436="","",O436/180*PI()*(L436-M436)/(R422-S422))</f>
        <v/>
      </c>
      <c r="R436" s="656" t="str">
        <f>IF(C436="","",(O436/180*PI()*N436-Q436*R422-S436*S421)/R423)</f>
        <v/>
      </c>
      <c r="S436" s="657" t="str">
        <f t="shared" si="77"/>
        <v/>
      </c>
      <c r="T436" s="670" t="str">
        <f t="shared" si="78"/>
        <v/>
      </c>
      <c r="U436" s="671" t="str">
        <f t="shared" si="79"/>
        <v/>
      </c>
      <c r="V436" s="333"/>
      <c r="W436" s="185"/>
      <c r="X436" s="141"/>
      <c r="Z436" s="187"/>
      <c r="AA436" s="187"/>
    </row>
    <row r="437" spans="1:27" s="186" customFormat="1" ht="15" customHeight="1">
      <c r="A437" s="215"/>
      <c r="B437" s="168"/>
      <c r="C437" s="668" t="str">
        <f>IF(Q415="","",IF(C436="","",IF(C436+1&lt;=Q415,C436+1,"")))</f>
        <v/>
      </c>
      <c r="D437" s="236"/>
      <c r="E437" s="195"/>
      <c r="F437" s="195"/>
      <c r="G437" s="195"/>
      <c r="H437" s="195"/>
      <c r="I437" s="195"/>
      <c r="J437" s="196"/>
      <c r="K437" s="641"/>
      <c r="L437" s="647" t="str">
        <f t="shared" si="80"/>
        <v/>
      </c>
      <c r="M437" s="651" t="str">
        <f>IF(C437="","",L437-Q422*COS(O415*PI()/180))</f>
        <v/>
      </c>
      <c r="N437" s="652" t="str">
        <f>IF(C437="","",L437+P422*SIN(O415*PI()/180))</f>
        <v/>
      </c>
      <c r="O437" s="644" t="str">
        <f t="shared" si="81"/>
        <v>-</v>
      </c>
      <c r="P437" s="654" t="str">
        <f>IF(C437="","",(PI()*O437/180*(R423*M437-N437*S423)-Q437*(S422*R423-S423*R422))/S421/(R423-S423))</f>
        <v/>
      </c>
      <c r="Q437" s="655" t="str">
        <f>IF(C437="","",O437/180*PI()*(L437-M437)/(R422-S422))</f>
        <v/>
      </c>
      <c r="R437" s="656" t="str">
        <f>IF(C437="","",(O437/180*PI()*N437-Q437*R422-S437*S421)/R423)</f>
        <v/>
      </c>
      <c r="S437" s="657" t="str">
        <f t="shared" si="77"/>
        <v/>
      </c>
      <c r="T437" s="670" t="str">
        <f t="shared" si="78"/>
        <v/>
      </c>
      <c r="U437" s="671" t="str">
        <f t="shared" si="79"/>
        <v/>
      </c>
      <c r="V437" s="333"/>
      <c r="W437" s="185"/>
      <c r="X437" s="141"/>
      <c r="Z437" s="187"/>
      <c r="AA437" s="187"/>
    </row>
    <row r="438" spans="1:27" s="186" customFormat="1" ht="15" customHeight="1">
      <c r="A438" s="215"/>
      <c r="B438" s="168"/>
      <c r="C438" s="668" t="str">
        <f>IF(Q415="","",IF(C437="","",IF(C437+1&lt;=Q415,C437+1,"")))</f>
        <v/>
      </c>
      <c r="D438" s="236"/>
      <c r="E438" s="195"/>
      <c r="F438" s="195"/>
      <c r="G438" s="195"/>
      <c r="H438" s="195"/>
      <c r="I438" s="195"/>
      <c r="J438" s="196"/>
      <c r="K438" s="641"/>
      <c r="L438" s="647" t="str">
        <f t="shared" si="80"/>
        <v/>
      </c>
      <c r="M438" s="651" t="str">
        <f>IF(C438="","",L438-Q422*COS(O415*PI()/180))</f>
        <v/>
      </c>
      <c r="N438" s="652" t="str">
        <f>IF(C438="","",L438+P422*SIN(O415*PI()/180))</f>
        <v/>
      </c>
      <c r="O438" s="644" t="str">
        <f t="shared" si="81"/>
        <v>-</v>
      </c>
      <c r="P438" s="654" t="str">
        <f>IF(C438="","",(PI()*O438/180*(R423*M438-N438*S423)-Q438*(S422*R423-S423*R422))/S421/(R423-S423))</f>
        <v/>
      </c>
      <c r="Q438" s="655" t="str">
        <f>IF(C438="","",O438/180*PI()*(L438-M438)/(R422-S422))</f>
        <v/>
      </c>
      <c r="R438" s="656" t="str">
        <f>IF(C438="","",(O438/180*PI()*N438-Q438*R422-S438*S421)/R423)</f>
        <v/>
      </c>
      <c r="S438" s="657" t="str">
        <f t="shared" si="77"/>
        <v/>
      </c>
      <c r="T438" s="670" t="str">
        <f t="shared" si="78"/>
        <v/>
      </c>
      <c r="U438" s="671" t="str">
        <f t="shared" si="79"/>
        <v/>
      </c>
      <c r="V438" s="333"/>
      <c r="W438" s="185"/>
      <c r="X438" s="141"/>
      <c r="Z438" s="187"/>
      <c r="AA438" s="187"/>
    </row>
    <row r="439" spans="1:27" s="186" customFormat="1" ht="15" customHeight="1">
      <c r="A439" s="215"/>
      <c r="B439" s="168"/>
      <c r="C439" s="668" t="str">
        <f>IF(Q415="","",IF(C438="","",IF(C438+1&lt;=Q415,C438+1,"")))</f>
        <v/>
      </c>
      <c r="D439" s="236"/>
      <c r="E439" s="195"/>
      <c r="F439" s="195"/>
      <c r="G439" s="195"/>
      <c r="H439" s="195"/>
      <c r="I439" s="195"/>
      <c r="J439" s="196"/>
      <c r="K439" s="641"/>
      <c r="L439" s="647" t="str">
        <f t="shared" si="80"/>
        <v/>
      </c>
      <c r="M439" s="651" t="str">
        <f>IF(C439="","",L439-Q422*COS(O415*PI()/180))</f>
        <v/>
      </c>
      <c r="N439" s="652" t="str">
        <f>IF(C439="","",L439+P422*SIN(O415*PI()/180))</f>
        <v/>
      </c>
      <c r="O439" s="644" t="str">
        <f t="shared" si="81"/>
        <v>-</v>
      </c>
      <c r="P439" s="654" t="str">
        <f>IF(C439="","",(PI()*O439/180*(R423*M439-N439*S423)-Q439*(S422*R423-S423*R422))/S421/(R423-S423))</f>
        <v/>
      </c>
      <c r="Q439" s="655" t="str">
        <f>IF(C439="","",O439/180*PI()*(L439-M439)/(R422-S422))</f>
        <v/>
      </c>
      <c r="R439" s="656" t="str">
        <f>IF(C439="","",(O439/180*PI()*N439-Q439*R422-S439*S421)/R423)</f>
        <v/>
      </c>
      <c r="S439" s="657" t="str">
        <f t="shared" si="77"/>
        <v/>
      </c>
      <c r="T439" s="670" t="str">
        <f t="shared" si="78"/>
        <v/>
      </c>
      <c r="U439" s="671" t="str">
        <f t="shared" si="79"/>
        <v/>
      </c>
      <c r="V439" s="333"/>
      <c r="W439" s="185"/>
      <c r="X439" s="141"/>
      <c r="Z439" s="187"/>
      <c r="AA439" s="187"/>
    </row>
    <row r="440" spans="1:27" s="186" customFormat="1" ht="15" customHeight="1">
      <c r="A440" s="215"/>
      <c r="B440" s="168"/>
      <c r="C440" s="668" t="str">
        <f>IF(Q415="","",IF(C439="","",IF(C439+1&lt;=Q415,C439+1,"")))</f>
        <v/>
      </c>
      <c r="D440" s="236"/>
      <c r="E440" s="195"/>
      <c r="F440" s="195"/>
      <c r="G440" s="195"/>
      <c r="H440" s="195"/>
      <c r="I440" s="195"/>
      <c r="J440" s="196"/>
      <c r="K440" s="641"/>
      <c r="L440" s="647" t="str">
        <f t="shared" si="80"/>
        <v/>
      </c>
      <c r="M440" s="651" t="str">
        <f>IF(C440="","",L440-Q422*COS(O415*PI()/180))</f>
        <v/>
      </c>
      <c r="N440" s="652" t="str">
        <f>IF(C440="","",L440+P422*SIN(O415*PI()/180))</f>
        <v/>
      </c>
      <c r="O440" s="644" t="str">
        <f t="shared" si="81"/>
        <v>-</v>
      </c>
      <c r="P440" s="654" t="str">
        <f>IF(C440="","",(PI()*O440/180*(R423*M440-N440*S423)-Q440*(S422*R423-S423*R422))/S421/(R423-S423))</f>
        <v/>
      </c>
      <c r="Q440" s="655" t="str">
        <f>IF(C440="","",O440/180*PI()*(L440-M440)/(R422-S422))</f>
        <v/>
      </c>
      <c r="R440" s="656" t="str">
        <f>IF(C440="","",(O440/180*PI()*N440-Q440*R422-S440*S421)/R423)</f>
        <v/>
      </c>
      <c r="S440" s="657" t="str">
        <f t="shared" si="77"/>
        <v/>
      </c>
      <c r="T440" s="670" t="str">
        <f t="shared" si="78"/>
        <v/>
      </c>
      <c r="U440" s="671" t="str">
        <f t="shared" si="79"/>
        <v/>
      </c>
      <c r="V440" s="333"/>
      <c r="W440" s="185"/>
      <c r="X440" s="141"/>
      <c r="Z440" s="187"/>
      <c r="AA440" s="187"/>
    </row>
    <row r="441" spans="1:27" s="186" customFormat="1" ht="15" customHeight="1">
      <c r="A441" s="215"/>
      <c r="B441" s="168"/>
      <c r="C441" s="668" t="str">
        <f>IF(Q415="","",IF(C440="","",IF(C440+1&lt;=Q415,C440+1,"")))</f>
        <v/>
      </c>
      <c r="D441" s="236"/>
      <c r="E441" s="195"/>
      <c r="F441" s="195"/>
      <c r="G441" s="195"/>
      <c r="H441" s="195"/>
      <c r="I441" s="195"/>
      <c r="J441" s="196"/>
      <c r="K441" s="641"/>
      <c r="L441" s="647" t="str">
        <f t="shared" si="80"/>
        <v/>
      </c>
      <c r="M441" s="651" t="str">
        <f>IF(C441="","",L441-Q422*COS(O415*PI()/180))</f>
        <v/>
      </c>
      <c r="N441" s="652" t="str">
        <f>IF(C441="","",L441+P422*SIN(O415*PI()/180))</f>
        <v/>
      </c>
      <c r="O441" s="644" t="str">
        <f t="shared" si="81"/>
        <v>-</v>
      </c>
      <c r="P441" s="654" t="str">
        <f>IF(C441="","",(PI()*O441/180*(R423*M441-N441*S423)-Q441*(S422*R423-S423*R422))/S421/(R423-S423))</f>
        <v/>
      </c>
      <c r="Q441" s="655" t="str">
        <f>IF(C441="","",O441/180*PI()*(L441-M441)/(R422-S422))</f>
        <v/>
      </c>
      <c r="R441" s="656" t="str">
        <f>IF(C441="","",(O441/180*PI()*N441-Q441*R422-S441*S421)/R423)</f>
        <v/>
      </c>
      <c r="S441" s="657" t="str">
        <f t="shared" si="77"/>
        <v/>
      </c>
      <c r="T441" s="670" t="str">
        <f t="shared" si="78"/>
        <v/>
      </c>
      <c r="U441" s="671" t="str">
        <f t="shared" si="79"/>
        <v/>
      </c>
      <c r="V441" s="333"/>
      <c r="W441" s="185"/>
      <c r="X441" s="141"/>
      <c r="Z441" s="187"/>
      <c r="AA441" s="187"/>
    </row>
    <row r="442" spans="1:27" s="186" customFormat="1" ht="15" customHeight="1">
      <c r="A442" s="215"/>
      <c r="B442" s="168"/>
      <c r="C442" s="668" t="str">
        <f>IF(Q415="","",IF(C441="","",IF(C441+1&lt;=Q415,C441+1,"")))</f>
        <v/>
      </c>
      <c r="D442" s="236"/>
      <c r="E442" s="195"/>
      <c r="F442" s="195"/>
      <c r="G442" s="195"/>
      <c r="H442" s="195"/>
      <c r="I442" s="195"/>
      <c r="J442" s="196"/>
      <c r="K442" s="641"/>
      <c r="L442" s="647" t="str">
        <f t="shared" si="80"/>
        <v/>
      </c>
      <c r="M442" s="651" t="str">
        <f>IF(C442="","",L442-Q422*COS(O415*PI()/180))</f>
        <v/>
      </c>
      <c r="N442" s="652" t="str">
        <f>IF(C442="","",L442+P422*SIN(O415*PI()/180))</f>
        <v/>
      </c>
      <c r="O442" s="644" t="str">
        <f t="shared" si="81"/>
        <v>-</v>
      </c>
      <c r="P442" s="654" t="str">
        <f>IF(C442="","",(PI()*O442/180*(R423*M442-N442*S423)-Q442*(S422*R423-S423*R422))/S421/(R423-S423))</f>
        <v/>
      </c>
      <c r="Q442" s="655" t="str">
        <f>IF(C442="","",O442/180*PI()*(L442-M442)/(R422-S422))</f>
        <v/>
      </c>
      <c r="R442" s="656" t="str">
        <f>IF(C442="","",(O442/180*PI()*N442-Q442*R422-S442*S421)/R423)</f>
        <v/>
      </c>
      <c r="S442" s="657" t="str">
        <f t="shared" si="77"/>
        <v/>
      </c>
      <c r="T442" s="670" t="str">
        <f t="shared" si="78"/>
        <v/>
      </c>
      <c r="U442" s="671" t="str">
        <f t="shared" si="79"/>
        <v/>
      </c>
      <c r="V442" s="333"/>
      <c r="W442" s="185"/>
      <c r="X442" s="141"/>
      <c r="Z442" s="187"/>
      <c r="AA442" s="187"/>
    </row>
    <row r="443" spans="1:27" s="186" customFormat="1" ht="15" customHeight="1">
      <c r="A443" s="215"/>
      <c r="B443" s="168"/>
      <c r="C443" s="668" t="str">
        <f>IF(Q415="","",IF(C442="","",IF(C442+1&lt;=Q415,C442+1,"")))</f>
        <v/>
      </c>
      <c r="D443" s="236"/>
      <c r="E443" s="195"/>
      <c r="F443" s="195"/>
      <c r="G443" s="195"/>
      <c r="H443" s="195"/>
      <c r="I443" s="195"/>
      <c r="J443" s="196"/>
      <c r="K443" s="641"/>
      <c r="L443" s="647" t="str">
        <f t="shared" si="80"/>
        <v/>
      </c>
      <c r="M443" s="651" t="str">
        <f>IF(C443="","",L443-Q422*COS(O415*PI()/180))</f>
        <v/>
      </c>
      <c r="N443" s="652" t="str">
        <f>IF(C443="","",L443+P422*SIN(O415*PI()/180))</f>
        <v/>
      </c>
      <c r="O443" s="644" t="str">
        <f t="shared" si="81"/>
        <v>-</v>
      </c>
      <c r="P443" s="654" t="str">
        <f>IF(C443="","",(PI()*O443/180*(R423*M443-N443*S423)-Q443*(S422*R423-S423*R422))/S421/(R423-S423))</f>
        <v/>
      </c>
      <c r="Q443" s="655" t="str">
        <f>IF(C443="","",O443/180*PI()*(L443-M443)/(R422-S422))</f>
        <v/>
      </c>
      <c r="R443" s="656" t="str">
        <f>IF(C443="","",(O443/180*PI()*N443-Q443*R422-S443*S421)/R423)</f>
        <v/>
      </c>
      <c r="S443" s="657" t="str">
        <f t="shared" si="77"/>
        <v/>
      </c>
      <c r="T443" s="670" t="str">
        <f t="shared" si="78"/>
        <v/>
      </c>
      <c r="U443" s="671" t="str">
        <f t="shared" si="79"/>
        <v/>
      </c>
      <c r="V443" s="333"/>
      <c r="W443" s="185"/>
      <c r="X443" s="141"/>
      <c r="Z443" s="187"/>
      <c r="AA443" s="187"/>
    </row>
    <row r="444" spans="1:27" s="186" customFormat="1" ht="15" customHeight="1">
      <c r="A444" s="215"/>
      <c r="B444" s="168"/>
      <c r="C444" s="668" t="str">
        <f>IF(Q415="","",IF(C443="","",IF(C443+1&lt;=Q415,C443+1,"")))</f>
        <v/>
      </c>
      <c r="D444" s="236"/>
      <c r="E444" s="195"/>
      <c r="F444" s="195"/>
      <c r="G444" s="195"/>
      <c r="H444" s="195"/>
      <c r="I444" s="195"/>
      <c r="J444" s="196"/>
      <c r="K444" s="641"/>
      <c r="L444" s="647" t="str">
        <f t="shared" si="80"/>
        <v/>
      </c>
      <c r="M444" s="651" t="str">
        <f>IF(C444="","",L444-Q422*COS(O415*PI()/180))</f>
        <v/>
      </c>
      <c r="N444" s="652" t="str">
        <f>IF(C444="","",L444+P422*SIN(O415*PI()/180))</f>
        <v/>
      </c>
      <c r="O444" s="644" t="str">
        <f t="shared" si="81"/>
        <v>-</v>
      </c>
      <c r="P444" s="654" t="str">
        <f>IF(C444="","",(PI()*O444/180*(R423*M444-N444*S423)-Q444*(S422*R423-S423*R422))/S421/(R423-S423))</f>
        <v/>
      </c>
      <c r="Q444" s="655" t="str">
        <f>IF(C444="","",O444/180*PI()*(L444-M444)/(R422-S422))</f>
        <v/>
      </c>
      <c r="R444" s="656" t="str">
        <f>IF(C444="","",(O444/180*PI()*N444-Q444*R422-S444*S421)/R423)</f>
        <v/>
      </c>
      <c r="S444" s="657" t="str">
        <f t="shared" si="77"/>
        <v/>
      </c>
      <c r="T444" s="670" t="str">
        <f t="shared" si="78"/>
        <v/>
      </c>
      <c r="U444" s="671" t="str">
        <f t="shared" si="79"/>
        <v/>
      </c>
      <c r="V444" s="333"/>
      <c r="W444" s="185"/>
      <c r="X444" s="141"/>
      <c r="Z444" s="187"/>
      <c r="AA444" s="187"/>
    </row>
    <row r="445" spans="1:27" s="186" customFormat="1" ht="15" customHeight="1">
      <c r="A445" s="215"/>
      <c r="B445" s="168"/>
      <c r="C445" s="668" t="str">
        <f>IF(Q415="","",IF(C444="","",IF(C444+1&lt;=Q415,C444+1,"")))</f>
        <v/>
      </c>
      <c r="D445" s="236"/>
      <c r="E445" s="195"/>
      <c r="F445" s="195"/>
      <c r="G445" s="195"/>
      <c r="H445" s="195"/>
      <c r="I445" s="195"/>
      <c r="J445" s="196"/>
      <c r="K445" s="641"/>
      <c r="L445" s="647" t="str">
        <f t="shared" si="80"/>
        <v/>
      </c>
      <c r="M445" s="651" t="str">
        <f>IF(C445="","",L445-Q422*COS(O415*PI()/180))</f>
        <v/>
      </c>
      <c r="N445" s="652" t="str">
        <f>IF(C445="","",L445+P422*SIN(O415*PI()/180))</f>
        <v/>
      </c>
      <c r="O445" s="644" t="str">
        <f t="shared" si="81"/>
        <v>-</v>
      </c>
      <c r="P445" s="654" t="str">
        <f>IF(C445="","",(PI()*O445/180*(R423*M445-N445*S423)-Q445*(S422*R423-S423*R422))/S421/(R423-S423))</f>
        <v/>
      </c>
      <c r="Q445" s="655" t="str">
        <f>IF(C445="","",O445/180*PI()*(L445-M445)/(R422-S422))</f>
        <v/>
      </c>
      <c r="R445" s="656" t="str">
        <f>IF(C445="","",(O445/180*PI()*N445-Q445*R422-S445*S421)/R423)</f>
        <v/>
      </c>
      <c r="S445" s="657" t="str">
        <f t="shared" si="77"/>
        <v/>
      </c>
      <c r="T445" s="670" t="str">
        <f t="shared" si="78"/>
        <v/>
      </c>
      <c r="U445" s="671" t="str">
        <f t="shared" si="79"/>
        <v/>
      </c>
      <c r="V445" s="333"/>
      <c r="W445" s="185"/>
      <c r="X445" s="141"/>
      <c r="Z445" s="187"/>
      <c r="AA445" s="187"/>
    </row>
    <row r="446" spans="1:27" s="186" customFormat="1" ht="15" customHeight="1">
      <c r="A446" s="215"/>
      <c r="B446" s="168"/>
      <c r="C446" s="668" t="str">
        <f>IF(Q415="","",IF(C445="","",IF(C445+1&lt;=Q415,C445+1,"")))</f>
        <v/>
      </c>
      <c r="D446" s="236"/>
      <c r="E446" s="195"/>
      <c r="F446" s="195"/>
      <c r="G446" s="195"/>
      <c r="H446" s="195"/>
      <c r="I446" s="195"/>
      <c r="J446" s="196"/>
      <c r="K446" s="641"/>
      <c r="L446" s="647" t="str">
        <f t="shared" si="80"/>
        <v/>
      </c>
      <c r="M446" s="651" t="str">
        <f>IF(C446="","",L446-Q422*COS(O415*PI()/180))</f>
        <v/>
      </c>
      <c r="N446" s="652" t="str">
        <f>IF(C446="","",L446+P422*SIN(O415*PI()/180))</f>
        <v/>
      </c>
      <c r="O446" s="644" t="str">
        <f t="shared" si="81"/>
        <v>-</v>
      </c>
      <c r="P446" s="654" t="str">
        <f>IF(C446="","",(PI()*O446/180*(R423*M446-N446*S423)-Q446*(S422*R423-S423*R422))/S421/(R423-S423))</f>
        <v/>
      </c>
      <c r="Q446" s="655" t="str">
        <f>IF(C446="","",O446/180*PI()*(L446-M446)/(R422-S422))</f>
        <v/>
      </c>
      <c r="R446" s="656" t="str">
        <f>IF(C446="","",(O446/180*PI()*N446-Q446*R422-S446*S421)/R423)</f>
        <v/>
      </c>
      <c r="S446" s="657" t="str">
        <f t="shared" si="77"/>
        <v/>
      </c>
      <c r="T446" s="670" t="str">
        <f t="shared" si="78"/>
        <v/>
      </c>
      <c r="U446" s="671" t="str">
        <f t="shared" si="79"/>
        <v/>
      </c>
      <c r="V446" s="333"/>
      <c r="W446" s="185"/>
      <c r="X446" s="141"/>
      <c r="Z446" s="187"/>
      <c r="AA446" s="187"/>
    </row>
    <row r="447" spans="1:27" s="186" customFormat="1" ht="15" customHeight="1">
      <c r="A447" s="215"/>
      <c r="B447" s="168"/>
      <c r="C447" s="668" t="str">
        <f>IF(Q415="","",IF(C446="","",IF(C446+1&lt;=Q415,C446+1,"")))</f>
        <v/>
      </c>
      <c r="D447" s="236"/>
      <c r="E447" s="195"/>
      <c r="F447" s="195"/>
      <c r="G447" s="195"/>
      <c r="H447" s="195"/>
      <c r="I447" s="195"/>
      <c r="J447" s="196"/>
      <c r="K447" s="641"/>
      <c r="L447" s="647" t="str">
        <f t="shared" si="80"/>
        <v/>
      </c>
      <c r="M447" s="651" t="str">
        <f>IF(C447="","",L447-Q422*COS(O415*PI()/180))</f>
        <v/>
      </c>
      <c r="N447" s="652" t="str">
        <f>IF(C447="","",L447+P422*SIN(O415*PI()/180))</f>
        <v/>
      </c>
      <c r="O447" s="644" t="str">
        <f t="shared" si="81"/>
        <v>-</v>
      </c>
      <c r="P447" s="654" t="str">
        <f>IF(C447="","",(PI()*O447/180*(R423*M447-N447*S423)-Q447*(S422*R423-S423*R422))/S421/(R423-S423))</f>
        <v/>
      </c>
      <c r="Q447" s="655" t="str">
        <f>IF(C447="","",O447/180*PI()*(L447-M447)/(R422-S422))</f>
        <v/>
      </c>
      <c r="R447" s="656" t="str">
        <f>IF(C447="","",(O447/180*PI()*N447-Q447*R422-S447*S421)/R423)</f>
        <v/>
      </c>
      <c r="S447" s="657" t="str">
        <f t="shared" si="77"/>
        <v/>
      </c>
      <c r="T447" s="670" t="str">
        <f t="shared" si="78"/>
        <v/>
      </c>
      <c r="U447" s="671" t="str">
        <f t="shared" si="79"/>
        <v/>
      </c>
      <c r="V447" s="333"/>
      <c r="W447" s="185"/>
      <c r="X447" s="141"/>
      <c r="Z447" s="187"/>
      <c r="AA447" s="187"/>
    </row>
    <row r="448" spans="1:27" s="186" customFormat="1" ht="15" customHeight="1">
      <c r="A448" s="215"/>
      <c r="B448" s="168"/>
      <c r="C448" s="668" t="str">
        <f>IF(Q415="","",IF(C447="","",IF(C447+1&lt;=Q415,C447+1,"")))</f>
        <v/>
      </c>
      <c r="D448" s="236"/>
      <c r="E448" s="195"/>
      <c r="F448" s="195"/>
      <c r="G448" s="195"/>
      <c r="H448" s="195"/>
      <c r="I448" s="195"/>
      <c r="J448" s="196"/>
      <c r="K448" s="641"/>
      <c r="L448" s="647" t="str">
        <f t="shared" si="80"/>
        <v/>
      </c>
      <c r="M448" s="651" t="str">
        <f>IF(C448="","",L448-Q422*COS(O415*PI()/180))</f>
        <v/>
      </c>
      <c r="N448" s="652" t="str">
        <f>IF(C448="","",L448+P422*SIN(O415*PI()/180))</f>
        <v/>
      </c>
      <c r="O448" s="644" t="str">
        <f t="shared" si="81"/>
        <v>-</v>
      </c>
      <c r="P448" s="654" t="str">
        <f>IF(C448="","",(PI()*O448/180*(R423*M448-N448*S423)-Q448*(S422*R423-S423*R422))/S421/(R423-S423))</f>
        <v/>
      </c>
      <c r="Q448" s="655" t="str">
        <f>IF(C448="","",O448/180*PI()*(L448-M448)/(R422-S422))</f>
        <v/>
      </c>
      <c r="R448" s="656" t="str">
        <f>IF(C448="","",(O448/180*PI()*N448-Q448*R422-S448*S421)/R423)</f>
        <v/>
      </c>
      <c r="S448" s="657" t="str">
        <f t="shared" si="77"/>
        <v/>
      </c>
      <c r="T448" s="670" t="str">
        <f t="shared" si="78"/>
        <v/>
      </c>
      <c r="U448" s="671" t="str">
        <f t="shared" si="79"/>
        <v/>
      </c>
      <c r="V448" s="333"/>
      <c r="W448" s="185"/>
      <c r="X448" s="141"/>
      <c r="Z448" s="187"/>
      <c r="AA448" s="187"/>
    </row>
    <row r="449" spans="1:27" s="186" customFormat="1" ht="15" customHeight="1">
      <c r="A449" s="215"/>
      <c r="B449" s="168"/>
      <c r="C449" s="668" t="str">
        <f>IF(Q415="","",IF(C448="","",IF(C448+1&lt;=Q415,C448+1,"")))</f>
        <v/>
      </c>
      <c r="D449" s="236"/>
      <c r="E449" s="195"/>
      <c r="F449" s="195"/>
      <c r="G449" s="195"/>
      <c r="H449" s="195"/>
      <c r="I449" s="195"/>
      <c r="J449" s="196"/>
      <c r="K449" s="641"/>
      <c r="L449" s="647" t="str">
        <f t="shared" si="80"/>
        <v/>
      </c>
      <c r="M449" s="651" t="str">
        <f>IF(C449="","",L449-Q422*COS(O415*PI()/180))</f>
        <v/>
      </c>
      <c r="N449" s="652" t="str">
        <f>IF(C449="","",L449+P422*SIN(O415*PI()/180))</f>
        <v/>
      </c>
      <c r="O449" s="644" t="str">
        <f t="shared" si="81"/>
        <v>-</v>
      </c>
      <c r="P449" s="654" t="str">
        <f>IF(C449="","",(PI()*O449/180*(R423*M449-N449*S423)-Q449*(S422*R423-S423*R422))/S421/(R423-S423))</f>
        <v/>
      </c>
      <c r="Q449" s="655" t="str">
        <f>IF(C449="","",O449/180*PI()*(L449-M449)/(R422-S422))</f>
        <v/>
      </c>
      <c r="R449" s="656" t="str">
        <f>IF(C449="","",(O449/180*PI()*N449-Q449*R422-S449*S421)/R423)</f>
        <v/>
      </c>
      <c r="S449" s="657" t="str">
        <f t="shared" si="77"/>
        <v/>
      </c>
      <c r="T449" s="670" t="str">
        <f t="shared" si="78"/>
        <v/>
      </c>
      <c r="U449" s="671" t="str">
        <f t="shared" si="79"/>
        <v/>
      </c>
      <c r="V449" s="333"/>
      <c r="W449" s="185"/>
      <c r="X449" s="141"/>
      <c r="Z449" s="187"/>
      <c r="AA449" s="187"/>
    </row>
    <row r="450" spans="1:27" s="186" customFormat="1" ht="15" customHeight="1">
      <c r="A450" s="215"/>
      <c r="B450" s="168"/>
      <c r="C450" s="668" t="str">
        <f>IF(Q415="","",IF(C449="","",IF(C449+1&lt;=Q415,C449+1,"")))</f>
        <v/>
      </c>
      <c r="D450" s="236"/>
      <c r="E450" s="195"/>
      <c r="F450" s="195"/>
      <c r="G450" s="195"/>
      <c r="H450" s="195"/>
      <c r="I450" s="195"/>
      <c r="J450" s="196"/>
      <c r="K450" s="641"/>
      <c r="L450" s="647" t="str">
        <f t="shared" si="80"/>
        <v/>
      </c>
      <c r="M450" s="651" t="str">
        <f>IF(C450="","",L450-Q422*COS(O415*PI()/180))</f>
        <v/>
      </c>
      <c r="N450" s="652" t="str">
        <f>IF(C450="","",L450+P422*SIN(O415*PI()/180))</f>
        <v/>
      </c>
      <c r="O450" s="644" t="str">
        <f t="shared" si="81"/>
        <v>-</v>
      </c>
      <c r="P450" s="654" t="str">
        <f>IF(C450="","",(PI()*O450/180*(R423*M450-N450*S423)-Q450*(S422*R423-S423*R422))/S421/(R423-S423))</f>
        <v/>
      </c>
      <c r="Q450" s="655" t="str">
        <f>IF(C450="","",O450/180*PI()*(L450-M450)/(R422-S422))</f>
        <v/>
      </c>
      <c r="R450" s="656" t="str">
        <f>IF(C450="","",(O450/180*PI()*N450-Q450*R422-S450*S421)/R423)</f>
        <v/>
      </c>
      <c r="S450" s="657" t="str">
        <f t="shared" si="77"/>
        <v/>
      </c>
      <c r="T450" s="670" t="str">
        <f t="shared" si="78"/>
        <v/>
      </c>
      <c r="U450" s="671" t="str">
        <f t="shared" si="79"/>
        <v/>
      </c>
      <c r="V450" s="333"/>
      <c r="W450" s="185"/>
      <c r="X450" s="141"/>
      <c r="Z450" s="187"/>
      <c r="AA450" s="187"/>
    </row>
    <row r="451" spans="1:27" s="186" customFormat="1" ht="15" customHeight="1">
      <c r="A451" s="215"/>
      <c r="B451" s="168"/>
      <c r="C451" s="668" t="str">
        <f>IF(Q415="","",IF(C450="","",IF(C450+1&lt;=Q415,C450+1,"")))</f>
        <v/>
      </c>
      <c r="D451" s="236"/>
      <c r="E451" s="195"/>
      <c r="F451" s="195"/>
      <c r="G451" s="195"/>
      <c r="H451" s="195"/>
      <c r="I451" s="195"/>
      <c r="J451" s="196"/>
      <c r="K451" s="641"/>
      <c r="L451" s="647" t="str">
        <f t="shared" si="80"/>
        <v/>
      </c>
      <c r="M451" s="651" t="str">
        <f>IF(C451="","",L451-Q422*COS(O415*PI()/180))</f>
        <v/>
      </c>
      <c r="N451" s="652" t="str">
        <f>IF(C451="","",L451+P422*SIN(O415*PI()/180))</f>
        <v/>
      </c>
      <c r="O451" s="644" t="str">
        <f t="shared" si="81"/>
        <v>-</v>
      </c>
      <c r="P451" s="654" t="str">
        <f>IF(C451="","",(PI()*O451/180*(R423*M451-N451*S423)-Q451*(S422*R423-S423*R422))/S421/(R423-S423))</f>
        <v/>
      </c>
      <c r="Q451" s="655" t="str">
        <f>IF(C451="","",O451/180*PI()*(L451-M451)/(R422-S422))</f>
        <v/>
      </c>
      <c r="R451" s="656" t="str">
        <f>IF(C451="","",(O451/180*PI()*N451-Q451*R422-S451*S421)/R423)</f>
        <v/>
      </c>
      <c r="S451" s="657" t="str">
        <f t="shared" si="77"/>
        <v/>
      </c>
      <c r="T451" s="670" t="str">
        <f t="shared" si="78"/>
        <v/>
      </c>
      <c r="U451" s="671" t="str">
        <f t="shared" si="79"/>
        <v/>
      </c>
      <c r="V451" s="333"/>
      <c r="W451" s="185"/>
      <c r="X451" s="141"/>
      <c r="Z451" s="187"/>
      <c r="AA451" s="187"/>
    </row>
    <row r="452" spans="1:27" s="186" customFormat="1" ht="15" customHeight="1">
      <c r="A452" s="215"/>
      <c r="B452" s="168"/>
      <c r="C452" s="668" t="str">
        <f>IF(Q415="","",IF(C451="","",IF(C451+1&lt;=Q415,C451+1,"")))</f>
        <v/>
      </c>
      <c r="D452" s="236"/>
      <c r="E452" s="195"/>
      <c r="F452" s="195"/>
      <c r="G452" s="195"/>
      <c r="H452" s="195"/>
      <c r="I452" s="195"/>
      <c r="J452" s="196"/>
      <c r="K452" s="641"/>
      <c r="L452" s="647" t="str">
        <f t="shared" si="80"/>
        <v/>
      </c>
      <c r="M452" s="651" t="str">
        <f>IF(C452="","",L452-Q422*COS(O415*PI()/180))</f>
        <v/>
      </c>
      <c r="N452" s="652" t="str">
        <f>IF(C452="","",L452+P422*SIN(O415*PI()/180))</f>
        <v/>
      </c>
      <c r="O452" s="644" t="str">
        <f t="shared" si="81"/>
        <v>-</v>
      </c>
      <c r="P452" s="654" t="str">
        <f>IF(C452="","",(PI()*O452/180*(R423*M452-N452*S423)-Q452*(S422*R423-S423*R422))/S421/(R423-S423))</f>
        <v/>
      </c>
      <c r="Q452" s="655" t="str">
        <f>IF(C452="","",O452/180*PI()*(L452-M452)/(R422-S422))</f>
        <v/>
      </c>
      <c r="R452" s="656" t="str">
        <f>IF(C452="","",(O452/180*PI()*N452-Q452*R422-S452*S421)/R423)</f>
        <v/>
      </c>
      <c r="S452" s="657" t="str">
        <f t="shared" si="77"/>
        <v/>
      </c>
      <c r="T452" s="670" t="str">
        <f t="shared" si="78"/>
        <v/>
      </c>
      <c r="U452" s="671" t="str">
        <f t="shared" si="79"/>
        <v/>
      </c>
      <c r="V452" s="333"/>
      <c r="W452" s="185"/>
      <c r="X452" s="141"/>
      <c r="Z452" s="187"/>
      <c r="AA452" s="187"/>
    </row>
    <row r="453" spans="1:27" s="186" customFormat="1" ht="15" customHeight="1">
      <c r="A453" s="215"/>
      <c r="B453" s="168"/>
      <c r="C453" s="668" t="str">
        <f>IF(Q415="","",IF(C452="","",IF(C452+1&lt;=Q415,C452+1,"")))</f>
        <v/>
      </c>
      <c r="D453" s="236"/>
      <c r="E453" s="195"/>
      <c r="F453" s="195"/>
      <c r="G453" s="195"/>
      <c r="H453" s="195"/>
      <c r="I453" s="195"/>
      <c r="J453" s="196"/>
      <c r="K453" s="641"/>
      <c r="L453" s="647" t="str">
        <f t="shared" si="80"/>
        <v/>
      </c>
      <c r="M453" s="651" t="str">
        <f>IF(C453="","",L453-Q422*COS(O415*PI()/180))</f>
        <v/>
      </c>
      <c r="N453" s="652" t="str">
        <f>IF(C453="","",L453+P422*SIN(O415*PI()/180))</f>
        <v/>
      </c>
      <c r="O453" s="644" t="str">
        <f t="shared" si="81"/>
        <v>-</v>
      </c>
      <c r="P453" s="654" t="str">
        <f>IF(C453="","",(PI()*O453/180*(R423*M453-N453*S423)-Q453*(S422*R423-S423*R422))/S421/(R423-S423))</f>
        <v/>
      </c>
      <c r="Q453" s="655" t="str">
        <f>IF(C453="","",O453/180*PI()*(L453-M453)/(R422-S422))</f>
        <v/>
      </c>
      <c r="R453" s="656" t="str">
        <f>IF(C453="","",(O453/180*PI()*N453-Q453*R422-S453*S421)/R423)</f>
        <v/>
      </c>
      <c r="S453" s="657" t="str">
        <f t="shared" si="77"/>
        <v/>
      </c>
      <c r="T453" s="670" t="str">
        <f t="shared" si="78"/>
        <v/>
      </c>
      <c r="U453" s="671" t="str">
        <f t="shared" si="79"/>
        <v/>
      </c>
      <c r="V453" s="333"/>
      <c r="W453" s="185"/>
      <c r="X453" s="141"/>
      <c r="Z453" s="187"/>
      <c r="AA453" s="187"/>
    </row>
    <row r="454" spans="1:27" s="186" customFormat="1" ht="15" customHeight="1">
      <c r="A454" s="215"/>
      <c r="B454" s="168"/>
      <c r="C454" s="668" t="str">
        <f>IF(Q415="","",IF(C453="","",IF(C453+1&lt;=Q415,C453+1,"")))</f>
        <v/>
      </c>
      <c r="D454" s="236"/>
      <c r="E454" s="195"/>
      <c r="F454" s="195"/>
      <c r="G454" s="195"/>
      <c r="H454" s="195"/>
      <c r="I454" s="195"/>
      <c r="J454" s="196"/>
      <c r="K454" s="641"/>
      <c r="L454" s="647" t="str">
        <f t="shared" si="80"/>
        <v/>
      </c>
      <c r="M454" s="651" t="str">
        <f>IF(C454="","",L454-Q422*COS(O415*PI()/180))</f>
        <v/>
      </c>
      <c r="N454" s="652" t="str">
        <f>IF(C454="","",L454+P422*SIN(O415*PI()/180))</f>
        <v/>
      </c>
      <c r="O454" s="644" t="str">
        <f t="shared" si="81"/>
        <v>-</v>
      </c>
      <c r="P454" s="654" t="str">
        <f>IF(C454="","",(PI()*O454/180*(R423*M454-N454*S423)-Q454*(S422*R423-S423*R422))/S421/(R423-S423))</f>
        <v/>
      </c>
      <c r="Q454" s="655" t="str">
        <f>IF(C454="","",O454/180*PI()*(L454-M454)/(R422-S422))</f>
        <v/>
      </c>
      <c r="R454" s="656" t="str">
        <f>IF(C454="","",(O454/180*PI()*N454-Q454*R422-S454*S421)/R423)</f>
        <v/>
      </c>
      <c r="S454" s="657" t="str">
        <f t="shared" si="77"/>
        <v/>
      </c>
      <c r="T454" s="670" t="str">
        <f t="shared" si="78"/>
        <v/>
      </c>
      <c r="U454" s="671" t="str">
        <f t="shared" si="79"/>
        <v/>
      </c>
      <c r="V454" s="333"/>
      <c r="W454" s="185"/>
      <c r="X454" s="141"/>
      <c r="Z454" s="187"/>
      <c r="AA454" s="187"/>
    </row>
    <row r="455" spans="1:27" s="186" customFormat="1" ht="15" customHeight="1">
      <c r="A455" s="215"/>
      <c r="B455" s="168"/>
      <c r="C455" s="668" t="str">
        <f>IF(Q415="","",IF(C454="","",IF(C454+1&lt;=Q415,C454+1,"")))</f>
        <v/>
      </c>
      <c r="D455" s="236"/>
      <c r="E455" s="195"/>
      <c r="F455" s="195"/>
      <c r="G455" s="195"/>
      <c r="H455" s="195"/>
      <c r="I455" s="195"/>
      <c r="J455" s="196"/>
      <c r="K455" s="641"/>
      <c r="L455" s="647" t="str">
        <f t="shared" si="80"/>
        <v/>
      </c>
      <c r="M455" s="651" t="str">
        <f>IF(C455="","",L455-Q422*COS(O415*PI()/180))</f>
        <v/>
      </c>
      <c r="N455" s="652" t="str">
        <f>IF(C455="","",L455+P422*SIN(O415*PI()/180))</f>
        <v/>
      </c>
      <c r="O455" s="644" t="str">
        <f t="shared" si="81"/>
        <v>-</v>
      </c>
      <c r="P455" s="654" t="str">
        <f>IF(C455="","",(PI()*O455/180*(R423*M455-N455*S423)-Q455*(S422*R423-S423*R422))/S421/(R423-S423))</f>
        <v/>
      </c>
      <c r="Q455" s="655" t="str">
        <f>IF(C455="","",O455/180*PI()*(L455-M455)/(R422-S422))</f>
        <v/>
      </c>
      <c r="R455" s="656" t="str">
        <f>IF(C455="","",(O455/180*PI()*N455-Q455*R422-S455*S421)/R423)</f>
        <v/>
      </c>
      <c r="S455" s="657" t="str">
        <f t="shared" si="77"/>
        <v/>
      </c>
      <c r="T455" s="670" t="str">
        <f t="shared" si="78"/>
        <v/>
      </c>
      <c r="U455" s="671" t="str">
        <f t="shared" si="79"/>
        <v/>
      </c>
      <c r="V455" s="333"/>
      <c r="W455" s="185"/>
      <c r="X455" s="141"/>
      <c r="Z455" s="187"/>
      <c r="AA455" s="187"/>
    </row>
    <row r="456" spans="1:27" s="186" customFormat="1" ht="15" customHeight="1">
      <c r="A456" s="215"/>
      <c r="B456" s="168"/>
      <c r="C456" s="668" t="str">
        <f>IF(Q415="","",IF(C455="","",IF(C455+1&lt;=Q415,C455+1,"")))</f>
        <v/>
      </c>
      <c r="D456" s="236"/>
      <c r="E456" s="195"/>
      <c r="F456" s="195"/>
      <c r="G456" s="195"/>
      <c r="H456" s="195"/>
      <c r="I456" s="195"/>
      <c r="J456" s="196"/>
      <c r="K456" s="641"/>
      <c r="L456" s="647" t="str">
        <f t="shared" si="80"/>
        <v/>
      </c>
      <c r="M456" s="651" t="str">
        <f>IF(C456="","",L456-Q422*COS(O415*PI()/180))</f>
        <v/>
      </c>
      <c r="N456" s="652" t="str">
        <f>IF(C456="","",L456+P422*SIN(O415*PI()/180))</f>
        <v/>
      </c>
      <c r="O456" s="644" t="str">
        <f t="shared" si="81"/>
        <v>-</v>
      </c>
      <c r="P456" s="654" t="str">
        <f>IF(C456="","",(PI()*O456/180*(R423*M456-N456*S423)-Q456*(S422*R423-S423*R422))/S421/(R423-S423))</f>
        <v/>
      </c>
      <c r="Q456" s="655" t="str">
        <f>IF(C456="","",O456/180*PI()*(L456-M456)/(R422-S422))</f>
        <v/>
      </c>
      <c r="R456" s="656" t="str">
        <f>IF(C456="","",(O456/180*PI()*N456-Q456*R422-S456*S421)/R423)</f>
        <v/>
      </c>
      <c r="S456" s="657" t="str">
        <f t="shared" si="77"/>
        <v/>
      </c>
      <c r="T456" s="670" t="str">
        <f t="shared" si="78"/>
        <v/>
      </c>
      <c r="U456" s="671" t="str">
        <f t="shared" si="79"/>
        <v/>
      </c>
      <c r="V456" s="333"/>
      <c r="W456" s="185"/>
      <c r="X456" s="141"/>
      <c r="Z456" s="187"/>
      <c r="AA456" s="187"/>
    </row>
    <row r="457" spans="1:27" s="186" customFormat="1" ht="15" customHeight="1">
      <c r="A457" s="215"/>
      <c r="B457" s="168"/>
      <c r="C457" s="668" t="str">
        <f>IF(Q415="","",IF(C456="","",IF(C456+1&lt;=Q415,C456+1,"")))</f>
        <v/>
      </c>
      <c r="D457" s="236"/>
      <c r="E457" s="195"/>
      <c r="F457" s="195"/>
      <c r="G457" s="195"/>
      <c r="H457" s="195"/>
      <c r="I457" s="195"/>
      <c r="J457" s="196"/>
      <c r="K457" s="641"/>
      <c r="L457" s="647" t="str">
        <f t="shared" si="80"/>
        <v/>
      </c>
      <c r="M457" s="651" t="str">
        <f>IF(C457="","",L457-Q422*COS(O415*PI()/180))</f>
        <v/>
      </c>
      <c r="N457" s="652" t="str">
        <f>IF(C457="","",L457+P422*SIN(O415*PI()/180))</f>
        <v/>
      </c>
      <c r="O457" s="644" t="str">
        <f t="shared" si="81"/>
        <v>-</v>
      </c>
      <c r="P457" s="654" t="str">
        <f>IF(C457="","",(PI()*O457/180*(R423*M457-N457*S423)-Q457*(S422*R423-S423*R422))/S421/(R423-S423))</f>
        <v/>
      </c>
      <c r="Q457" s="655" t="str">
        <f>IF(C457="","",O457/180*PI()*(L457-M457)/(R422-S422))</f>
        <v/>
      </c>
      <c r="R457" s="656" t="str">
        <f>IF(C457="","",(O457/180*PI()*N457-Q457*R422-S457*S421)/R423)</f>
        <v/>
      </c>
      <c r="S457" s="657" t="str">
        <f t="shared" si="77"/>
        <v/>
      </c>
      <c r="T457" s="670" t="str">
        <f t="shared" si="78"/>
        <v/>
      </c>
      <c r="U457" s="671" t="str">
        <f t="shared" si="79"/>
        <v/>
      </c>
      <c r="V457" s="333"/>
      <c r="W457" s="185"/>
      <c r="X457" s="141"/>
      <c r="Z457" s="187"/>
      <c r="AA457" s="187"/>
    </row>
    <row r="458" spans="1:27" s="186" customFormat="1" ht="15" customHeight="1">
      <c r="A458" s="215"/>
      <c r="B458" s="168"/>
      <c r="C458" s="668" t="str">
        <f>IF(Q415="","",IF(C457="","",IF(C457+1&lt;=Q415,C457+1,"")))</f>
        <v/>
      </c>
      <c r="D458" s="236"/>
      <c r="E458" s="195"/>
      <c r="F458" s="195"/>
      <c r="G458" s="195"/>
      <c r="H458" s="195"/>
      <c r="I458" s="195"/>
      <c r="J458" s="196"/>
      <c r="K458" s="641"/>
      <c r="L458" s="647" t="str">
        <f t="shared" si="80"/>
        <v/>
      </c>
      <c r="M458" s="651" t="str">
        <f>IF(C458="","",L458-Q422*COS(O415*PI()/180))</f>
        <v/>
      </c>
      <c r="N458" s="652" t="str">
        <f>IF(C458="","",L458+P422*SIN(O415*PI()/180))</f>
        <v/>
      </c>
      <c r="O458" s="644" t="str">
        <f t="shared" si="81"/>
        <v>-</v>
      </c>
      <c r="P458" s="654" t="str">
        <f>IF(C458="","",(PI()*O458/180*(R423*M458-N458*S423)-Q458*(S422*R423-S423*R422))/S421/(R423-S423))</f>
        <v/>
      </c>
      <c r="Q458" s="655" t="str">
        <f>IF(C458="","",O458/180*PI()*(L458-M458)/(R422-S422))</f>
        <v/>
      </c>
      <c r="R458" s="656" t="str">
        <f>IF(C458="","",(O458/180*PI()*N458-Q458*R422-S458*S421)/R423)</f>
        <v/>
      </c>
      <c r="S458" s="657" t="str">
        <f t="shared" si="77"/>
        <v/>
      </c>
      <c r="T458" s="670" t="str">
        <f t="shared" si="78"/>
        <v/>
      </c>
      <c r="U458" s="671" t="str">
        <f t="shared" si="79"/>
        <v/>
      </c>
      <c r="V458" s="333"/>
      <c r="W458" s="185"/>
      <c r="X458" s="141"/>
      <c r="Z458" s="187"/>
      <c r="AA458" s="187"/>
    </row>
    <row r="459" spans="1:27" s="186" customFormat="1" ht="15" customHeight="1">
      <c r="A459" s="215"/>
      <c r="B459" s="168"/>
      <c r="C459" s="668" t="str">
        <f>IF(Q415="","",IF(C458="","",IF(C458+1&lt;=Q415,C458+1,"")))</f>
        <v/>
      </c>
      <c r="D459" s="236"/>
      <c r="E459" s="195"/>
      <c r="F459" s="195"/>
      <c r="G459" s="195"/>
      <c r="H459" s="195"/>
      <c r="I459" s="195"/>
      <c r="J459" s="196"/>
      <c r="K459" s="641"/>
      <c r="L459" s="647" t="str">
        <f t="shared" si="80"/>
        <v/>
      </c>
      <c r="M459" s="651" t="str">
        <f>IF(C459="","",L459-Q422*COS(O415*PI()/180))</f>
        <v/>
      </c>
      <c r="N459" s="652" t="str">
        <f>IF(C459="","",L459+P422*SIN(O415*PI()/180))</f>
        <v/>
      </c>
      <c r="O459" s="644" t="str">
        <f t="shared" si="81"/>
        <v>-</v>
      </c>
      <c r="P459" s="654" t="str">
        <f>IF(C459="","",(PI()*O459/180*(R423*M459-N459*S423)-Q459*(S422*R423-S423*R422))/S421/(R423-S423))</f>
        <v/>
      </c>
      <c r="Q459" s="655" t="str">
        <f>IF(C459="","",O459/180*PI()*(L459-M459)/(R422-S422))</f>
        <v/>
      </c>
      <c r="R459" s="656" t="str">
        <f>IF(C459="","",(O459/180*PI()*N459-Q459*R422-S459*S421)/R423)</f>
        <v/>
      </c>
      <c r="S459" s="657" t="str">
        <f t="shared" si="77"/>
        <v/>
      </c>
      <c r="T459" s="670" t="str">
        <f t="shared" si="78"/>
        <v/>
      </c>
      <c r="U459" s="671" t="str">
        <f t="shared" si="79"/>
        <v/>
      </c>
      <c r="V459" s="333"/>
      <c r="W459" s="185"/>
      <c r="X459" s="141"/>
      <c r="Z459" s="187"/>
      <c r="AA459" s="187"/>
    </row>
    <row r="460" spans="1:27" s="186" customFormat="1" ht="15" customHeight="1">
      <c r="A460" s="215"/>
      <c r="B460" s="168"/>
      <c r="C460" s="668" t="str">
        <f>IF(Q415="","",IF(C459="","",IF(C459+1&lt;=Q415,C459+1,"")))</f>
        <v/>
      </c>
      <c r="D460" s="236"/>
      <c r="E460" s="195"/>
      <c r="F460" s="195"/>
      <c r="G460" s="195"/>
      <c r="H460" s="195"/>
      <c r="I460" s="195"/>
      <c r="J460" s="196"/>
      <c r="K460" s="641"/>
      <c r="L460" s="647" t="str">
        <f t="shared" si="80"/>
        <v/>
      </c>
      <c r="M460" s="651" t="str">
        <f>IF(C460="","",L460-Q422*COS(O415*PI()/180))</f>
        <v/>
      </c>
      <c r="N460" s="652" t="str">
        <f>IF(C460="","",L460+P422*SIN(O415*PI()/180))</f>
        <v/>
      </c>
      <c r="O460" s="644" t="str">
        <f t="shared" si="81"/>
        <v>-</v>
      </c>
      <c r="P460" s="654" t="str">
        <f>IF(C460="","",(PI()*O460/180*(R423*M460-N460*S423)-Q460*(S422*R423-S423*R422))/S421/(R423-S423))</f>
        <v/>
      </c>
      <c r="Q460" s="655" t="str">
        <f>IF(C460="","",O460/180*PI()*(L460-M460)/(R422-S422))</f>
        <v/>
      </c>
      <c r="R460" s="656" t="str">
        <f>IF(C460="","",(O460/180*PI()*N460-Q460*R422-S460*S421)/R423)</f>
        <v/>
      </c>
      <c r="S460" s="657" t="str">
        <f t="shared" si="77"/>
        <v/>
      </c>
      <c r="T460" s="670" t="str">
        <f t="shared" si="78"/>
        <v/>
      </c>
      <c r="U460" s="671" t="str">
        <f t="shared" si="79"/>
        <v/>
      </c>
      <c r="V460" s="333"/>
      <c r="W460" s="185"/>
      <c r="X460" s="141"/>
      <c r="Z460" s="187"/>
      <c r="AA460" s="187"/>
    </row>
    <row r="461" spans="1:27" s="186" customFormat="1" ht="15" customHeight="1">
      <c r="A461" s="215"/>
      <c r="B461" s="168"/>
      <c r="C461" s="668" t="str">
        <f>IF(Q415="","",IF(C460="","",IF(C460+1&lt;=Q415,C460+1,"")))</f>
        <v/>
      </c>
      <c r="D461" s="236"/>
      <c r="E461" s="195"/>
      <c r="F461" s="195"/>
      <c r="G461" s="195"/>
      <c r="H461" s="195"/>
      <c r="I461" s="195"/>
      <c r="J461" s="196"/>
      <c r="K461" s="641"/>
      <c r="L461" s="647" t="str">
        <f t="shared" si="80"/>
        <v/>
      </c>
      <c r="M461" s="651" t="str">
        <f>IF(C461="","",L461-Q422*COS(O415*PI()/180))</f>
        <v/>
      </c>
      <c r="N461" s="652" t="str">
        <f>IF(C461="","",L461+P422*SIN(O415*PI()/180))</f>
        <v/>
      </c>
      <c r="O461" s="644" t="str">
        <f t="shared" si="81"/>
        <v>-</v>
      </c>
      <c r="P461" s="654" t="str">
        <f>IF(C461="","",(PI()*O461/180*(R423*M461-N461*S423)-Q461*(S422*R423-S423*R422))/S421/(R423-S423))</f>
        <v/>
      </c>
      <c r="Q461" s="655" t="str">
        <f>IF(C461="","",O461/180*PI()*(L461-M461)/(R422-S422))</f>
        <v/>
      </c>
      <c r="R461" s="656" t="str">
        <f>IF(C461="","",(O461/180*PI()*N461-Q461*R422-S461*S421)/R423)</f>
        <v/>
      </c>
      <c r="S461" s="657" t="str">
        <f t="shared" si="77"/>
        <v/>
      </c>
      <c r="T461" s="670" t="str">
        <f t="shared" si="78"/>
        <v/>
      </c>
      <c r="U461" s="671" t="str">
        <f t="shared" si="79"/>
        <v/>
      </c>
      <c r="V461" s="333"/>
      <c r="W461" s="185"/>
      <c r="X461" s="141"/>
      <c r="Z461" s="187"/>
      <c r="AA461" s="187"/>
    </row>
    <row r="462" spans="1:27" s="186" customFormat="1" ht="15" customHeight="1">
      <c r="A462" s="215"/>
      <c r="B462" s="168"/>
      <c r="C462" s="668" t="str">
        <f>IF(Q415="","",IF(C461="","",IF(C461+1&lt;=Q415,C461+1,"")))</f>
        <v/>
      </c>
      <c r="D462" s="236"/>
      <c r="E462" s="195"/>
      <c r="F462" s="195"/>
      <c r="G462" s="195"/>
      <c r="H462" s="195"/>
      <c r="I462" s="195"/>
      <c r="J462" s="196"/>
      <c r="K462" s="641"/>
      <c r="L462" s="647" t="str">
        <f t="shared" si="80"/>
        <v/>
      </c>
      <c r="M462" s="651" t="str">
        <f>IF(C462="","",L462-Q422*COS(O415*PI()/180))</f>
        <v/>
      </c>
      <c r="N462" s="652" t="str">
        <f>IF(C462="","",L462+P422*SIN(O415*PI()/180))</f>
        <v/>
      </c>
      <c r="O462" s="644" t="str">
        <f t="shared" si="81"/>
        <v>-</v>
      </c>
      <c r="P462" s="654" t="str">
        <f>IF(C462="","",(PI()*O462/180*(R423*M462-N462*S423)-Q462*(S422*R423-S423*R422))/S421/(R423-S423))</f>
        <v/>
      </c>
      <c r="Q462" s="655" t="str">
        <f>IF(C462="","",O462/180*PI()*(L462-M462)/(R422-S422))</f>
        <v/>
      </c>
      <c r="R462" s="656" t="str">
        <f>IF(C462="","",(O462/180*PI()*N462-Q462*R422-S462*S421)/R423)</f>
        <v/>
      </c>
      <c r="S462" s="657" t="str">
        <f t="shared" si="77"/>
        <v/>
      </c>
      <c r="T462" s="670" t="str">
        <f t="shared" si="78"/>
        <v/>
      </c>
      <c r="U462" s="671" t="str">
        <f t="shared" si="79"/>
        <v/>
      </c>
      <c r="V462" s="333"/>
      <c r="W462" s="185"/>
      <c r="X462" s="141"/>
      <c r="Z462" s="187"/>
      <c r="AA462" s="187"/>
    </row>
    <row r="463" spans="1:27" s="186" customFormat="1" ht="15" customHeight="1">
      <c r="A463" s="215"/>
      <c r="B463" s="168"/>
      <c r="C463" s="668" t="str">
        <f>IF(Q415="","",IF(C462="","",IF(C462+1&lt;=Q415,C462+1,"")))</f>
        <v/>
      </c>
      <c r="D463" s="236"/>
      <c r="E463" s="195"/>
      <c r="F463" s="195"/>
      <c r="G463" s="195"/>
      <c r="H463" s="195"/>
      <c r="I463" s="195"/>
      <c r="J463" s="196"/>
      <c r="K463" s="641"/>
      <c r="L463" s="647" t="str">
        <f t="shared" si="80"/>
        <v/>
      </c>
      <c r="M463" s="651" t="str">
        <f>IF(C463="","",L463-Q422*COS(O415*PI()/180))</f>
        <v/>
      </c>
      <c r="N463" s="652" t="str">
        <f>IF(C463="","",L463+P422*SIN(O415*PI()/180))</f>
        <v/>
      </c>
      <c r="O463" s="644" t="str">
        <f t="shared" si="81"/>
        <v>-</v>
      </c>
      <c r="P463" s="654" t="str">
        <f>IF(C463="","",(PI()*O463/180*(R423*M463-N463*S423)-Q463*(S422*R423-S423*R422))/S421/(R423-S423))</f>
        <v/>
      </c>
      <c r="Q463" s="655" t="str">
        <f>IF(C463="","",O463/180*PI()*(L463-M463)/(R422-S422))</f>
        <v/>
      </c>
      <c r="R463" s="656" t="str">
        <f>IF(C463="","",(O463/180*PI()*N463-Q463*R422-S463*S421)/R423)</f>
        <v/>
      </c>
      <c r="S463" s="657" t="str">
        <f t="shared" si="77"/>
        <v/>
      </c>
      <c r="T463" s="670" t="str">
        <f t="shared" si="78"/>
        <v/>
      </c>
      <c r="U463" s="671" t="str">
        <f t="shared" si="79"/>
        <v/>
      </c>
      <c r="V463" s="333"/>
      <c r="W463" s="185"/>
      <c r="X463" s="141"/>
      <c r="Z463" s="187"/>
      <c r="AA463" s="187"/>
    </row>
    <row r="464" spans="1:27" s="186" customFormat="1" ht="15" customHeight="1">
      <c r="A464" s="215"/>
      <c r="B464" s="168"/>
      <c r="C464" s="668" t="str">
        <f>IF(Q415="","",IF(C463="","",IF(C463+1&lt;=Q415,C463+1,"")))</f>
        <v/>
      </c>
      <c r="D464" s="236"/>
      <c r="E464" s="195"/>
      <c r="F464" s="195"/>
      <c r="G464" s="195"/>
      <c r="H464" s="195"/>
      <c r="I464" s="195"/>
      <c r="J464" s="196"/>
      <c r="K464" s="641"/>
      <c r="L464" s="647" t="str">
        <f t="shared" si="80"/>
        <v/>
      </c>
      <c r="M464" s="651" t="str">
        <f>IF(C464="","",L464-Q422*COS(O415*PI()/180))</f>
        <v/>
      </c>
      <c r="N464" s="652" t="str">
        <f>IF(C464="","",L464+P422*SIN(O415*PI()/180))</f>
        <v/>
      </c>
      <c r="O464" s="644" t="str">
        <f t="shared" si="81"/>
        <v>-</v>
      </c>
      <c r="P464" s="654" t="str">
        <f>IF(C464="","",(PI()*O464/180*(R423*M464-N464*S423)-Q464*(S422*R423-S423*R422))/S421/(R423-S423))</f>
        <v/>
      </c>
      <c r="Q464" s="655" t="str">
        <f>IF(C464="","",O464/180*PI()*(L464-M464)/(R422-S422))</f>
        <v/>
      </c>
      <c r="R464" s="656" t="str">
        <f>IF(C464="","",(O464/180*PI()*N464-Q464*R422-S464*S421)/R423)</f>
        <v/>
      </c>
      <c r="S464" s="657" t="str">
        <f t="shared" si="77"/>
        <v/>
      </c>
      <c r="T464" s="670" t="str">
        <f t="shared" si="78"/>
        <v/>
      </c>
      <c r="U464" s="671" t="str">
        <f t="shared" si="79"/>
        <v/>
      </c>
      <c r="V464" s="333"/>
      <c r="W464" s="185"/>
      <c r="X464" s="141"/>
      <c r="Z464" s="187"/>
      <c r="AA464" s="187"/>
    </row>
    <row r="465" spans="1:27" s="186" customFormat="1" ht="15" customHeight="1">
      <c r="A465" s="215"/>
      <c r="B465" s="168"/>
      <c r="C465" s="668" t="str">
        <f>IF(Q415="","",IF(C464="","",IF(C464+1&lt;=Q415,C464+1,"")))</f>
        <v/>
      </c>
      <c r="D465" s="236"/>
      <c r="E465" s="195"/>
      <c r="F465" s="195"/>
      <c r="G465" s="195"/>
      <c r="H465" s="195"/>
      <c r="I465" s="195"/>
      <c r="J465" s="196"/>
      <c r="K465" s="641"/>
      <c r="L465" s="647" t="str">
        <f t="shared" si="80"/>
        <v/>
      </c>
      <c r="M465" s="651" t="str">
        <f>IF(C465="","",L465-Q422*COS(O415*PI()/180))</f>
        <v/>
      </c>
      <c r="N465" s="652" t="str">
        <f>IF(C465="","",L465+P422*SIN(O415*PI()/180))</f>
        <v/>
      </c>
      <c r="O465" s="644" t="str">
        <f t="shared" si="81"/>
        <v>-</v>
      </c>
      <c r="P465" s="654" t="str">
        <f>IF(C465="","",(PI()*O465/180*(R423*M465-N465*S423)-Q465*(S422*R423-S423*R422))/S421/(R423-S423))</f>
        <v/>
      </c>
      <c r="Q465" s="655" t="str">
        <f>IF(C465="","",O465/180*PI()*(L465-M465)/(R422-S422))</f>
        <v/>
      </c>
      <c r="R465" s="656" t="str">
        <f>IF(C465="","",(O465/180*PI()*N465-Q465*R422-S465*S421)/R423)</f>
        <v/>
      </c>
      <c r="S465" s="657" t="str">
        <f t="shared" si="77"/>
        <v/>
      </c>
      <c r="T465" s="670" t="str">
        <f t="shared" si="78"/>
        <v/>
      </c>
      <c r="U465" s="671" t="str">
        <f t="shared" si="79"/>
        <v/>
      </c>
      <c r="V465" s="333"/>
      <c r="W465" s="185"/>
      <c r="X465" s="141"/>
      <c r="Z465" s="187"/>
      <c r="AA465" s="187"/>
    </row>
    <row r="466" spans="1:27" s="186" customFormat="1" ht="15" customHeight="1">
      <c r="A466" s="215"/>
      <c r="B466" s="168"/>
      <c r="C466" s="668" t="str">
        <f>IF(Q415="","",IF(C465="","",IF(C465+1&lt;=Q415,C465+1,"")))</f>
        <v/>
      </c>
      <c r="D466" s="236"/>
      <c r="E466" s="195"/>
      <c r="F466" s="195"/>
      <c r="G466" s="195"/>
      <c r="H466" s="195"/>
      <c r="I466" s="195"/>
      <c r="J466" s="196"/>
      <c r="K466" s="641"/>
      <c r="L466" s="647" t="str">
        <f t="shared" si="80"/>
        <v/>
      </c>
      <c r="M466" s="651" t="str">
        <f>IF(C466="","",L466-Q422*COS(O415*PI()/180))</f>
        <v/>
      </c>
      <c r="N466" s="652" t="str">
        <f>IF(C466="","",L466+P422*SIN(O415*PI()/180))</f>
        <v/>
      </c>
      <c r="O466" s="644" t="str">
        <f t="shared" si="81"/>
        <v>-</v>
      </c>
      <c r="P466" s="654" t="str">
        <f>IF(C466="","",(PI()*O466/180*(R423*M466-N466*S423)-Q466*(S422*R423-S423*R422))/S421/(R423-S423))</f>
        <v/>
      </c>
      <c r="Q466" s="655" t="str">
        <f>IF(C466="","",O466/180*PI()*(L466-M466)/(R422-S422))</f>
        <v/>
      </c>
      <c r="R466" s="656" t="str">
        <f>IF(C466="","",(O466/180*PI()*N466-Q466*R422-S466*S421)/R423)</f>
        <v/>
      </c>
      <c r="S466" s="657" t="str">
        <f t="shared" si="77"/>
        <v/>
      </c>
      <c r="T466" s="670" t="str">
        <f t="shared" si="78"/>
        <v/>
      </c>
      <c r="U466" s="671" t="str">
        <f t="shared" si="79"/>
        <v/>
      </c>
      <c r="V466" s="333"/>
      <c r="W466" s="185"/>
      <c r="X466" s="141"/>
      <c r="Z466" s="187"/>
      <c r="AA466" s="187"/>
    </row>
    <row r="467" spans="1:27" s="186" customFormat="1" ht="15" customHeight="1">
      <c r="A467" s="215"/>
      <c r="B467" s="168"/>
      <c r="C467" s="668" t="str">
        <f>IF(Q415="","",IF(C466="","",IF(C466+1&lt;=Q415,C466+1,"")))</f>
        <v/>
      </c>
      <c r="D467" s="236"/>
      <c r="E467" s="195"/>
      <c r="F467" s="195"/>
      <c r="G467" s="195"/>
      <c r="H467" s="195"/>
      <c r="I467" s="195"/>
      <c r="J467" s="196"/>
      <c r="K467" s="641"/>
      <c r="L467" s="647" t="str">
        <f t="shared" si="80"/>
        <v/>
      </c>
      <c r="M467" s="651" t="str">
        <f>IF(C467="","",L467-Q422*COS(O415*PI()/180))</f>
        <v/>
      </c>
      <c r="N467" s="652" t="str">
        <f>IF(C467="","",L467+P422*SIN(O415*PI()/180))</f>
        <v/>
      </c>
      <c r="O467" s="644" t="str">
        <f t="shared" si="81"/>
        <v>-</v>
      </c>
      <c r="P467" s="654" t="str">
        <f>IF(C467="","",(PI()*O467/180*(R423*M467-N467*S423)-Q467*(S422*R423-S423*R422))/S421/(R423-S423))</f>
        <v/>
      </c>
      <c r="Q467" s="655" t="str">
        <f>IF(C467="","",O467/180*PI()*(L467-M467)/(R422-S422))</f>
        <v/>
      </c>
      <c r="R467" s="656" t="str">
        <f>IF(C467="","",(O467/180*PI()*N467-Q467*R422-S467*S421)/R423)</f>
        <v/>
      </c>
      <c r="S467" s="657" t="str">
        <f t="shared" si="77"/>
        <v/>
      </c>
      <c r="T467" s="670" t="str">
        <f t="shared" si="78"/>
        <v/>
      </c>
      <c r="U467" s="671" t="str">
        <f t="shared" si="79"/>
        <v/>
      </c>
      <c r="V467" s="333"/>
      <c r="W467" s="185"/>
      <c r="X467" s="141"/>
      <c r="Z467" s="187"/>
      <c r="AA467" s="187"/>
    </row>
    <row r="468" spans="1:27" s="186" customFormat="1" ht="15" customHeight="1">
      <c r="A468" s="215"/>
      <c r="B468" s="168"/>
      <c r="C468" s="668" t="str">
        <f>IF(Q415="","",IF(C467="","",IF(C467+1&lt;=Q415,C467+1,"")))</f>
        <v/>
      </c>
      <c r="D468" s="236"/>
      <c r="E468" s="195"/>
      <c r="F468" s="195"/>
      <c r="G468" s="195"/>
      <c r="H468" s="195"/>
      <c r="I468" s="195"/>
      <c r="J468" s="196"/>
      <c r="K468" s="641"/>
      <c r="L468" s="647" t="str">
        <f t="shared" si="80"/>
        <v/>
      </c>
      <c r="M468" s="651" t="str">
        <f>IF(C468="","",L468-Q422*COS(O415*PI()/180))</f>
        <v/>
      </c>
      <c r="N468" s="652" t="str">
        <f>IF(C468="","",L468+P422*SIN(O415*PI()/180))</f>
        <v/>
      </c>
      <c r="O468" s="644" t="str">
        <f t="shared" si="81"/>
        <v>-</v>
      </c>
      <c r="P468" s="654" t="str">
        <f>IF(C468="","",(PI()*O468/180*(R423*M468-N468*S423)-Q468*(S422*R423-S423*R422))/S421/(R423-S423))</f>
        <v/>
      </c>
      <c r="Q468" s="655" t="str">
        <f>IF(C468="","",O468/180*PI()*(L468-M468)/(R422-S422))</f>
        <v/>
      </c>
      <c r="R468" s="656" t="str">
        <f>IF(C468="","",(O468/180*PI()*N468-Q468*R422-S468*S421)/R423)</f>
        <v/>
      </c>
      <c r="S468" s="657" t="str">
        <f t="shared" si="77"/>
        <v/>
      </c>
      <c r="T468" s="670" t="str">
        <f t="shared" si="78"/>
        <v/>
      </c>
      <c r="U468" s="671" t="str">
        <f t="shared" si="79"/>
        <v/>
      </c>
      <c r="V468" s="333"/>
      <c r="W468" s="185"/>
      <c r="X468" s="141"/>
      <c r="Z468" s="187"/>
      <c r="AA468" s="187"/>
    </row>
    <row r="469" spans="1:27" s="186" customFormat="1" ht="15" customHeight="1">
      <c r="A469" s="215"/>
      <c r="B469" s="168"/>
      <c r="C469" s="668" t="str">
        <f>IF(Q415="","",IF(C468="","",IF(C468+1&lt;=Q415,C468+1,"")))</f>
        <v/>
      </c>
      <c r="D469" s="236"/>
      <c r="E469" s="195"/>
      <c r="F469" s="195"/>
      <c r="G469" s="195"/>
      <c r="H469" s="195"/>
      <c r="I469" s="195"/>
      <c r="J469" s="196"/>
      <c r="K469" s="641"/>
      <c r="L469" s="647" t="str">
        <f t="shared" si="80"/>
        <v/>
      </c>
      <c r="M469" s="651" t="str">
        <f>IF(C469="","",L469-Q422*COS(O415*PI()/180))</f>
        <v/>
      </c>
      <c r="N469" s="652" t="str">
        <f>IF(C469="","",L469+P422*SIN(O415*PI()/180))</f>
        <v/>
      </c>
      <c r="O469" s="644" t="str">
        <f t="shared" si="81"/>
        <v>-</v>
      </c>
      <c r="P469" s="654" t="str">
        <f>IF(C469="","",(PI()*O469/180*(R423*M469-N469*S423)-Q469*(S422*R423-S423*R422))/S421/(R423-S423))</f>
        <v/>
      </c>
      <c r="Q469" s="655" t="str">
        <f>IF(C469="","",O469/180*PI()*(L469-M469)/(R422-S422))</f>
        <v/>
      </c>
      <c r="R469" s="656" t="str">
        <f>IF(C469="","",(O469/180*PI()*N469-Q469*R422-S469*S421)/R423)</f>
        <v/>
      </c>
      <c r="S469" s="657" t="str">
        <f t="shared" si="77"/>
        <v/>
      </c>
      <c r="T469" s="670" t="str">
        <f t="shared" si="78"/>
        <v/>
      </c>
      <c r="U469" s="671" t="str">
        <f t="shared" si="79"/>
        <v/>
      </c>
      <c r="V469" s="333"/>
      <c r="W469" s="185"/>
      <c r="X469" s="141"/>
      <c r="Z469" s="187"/>
      <c r="AA469" s="187"/>
    </row>
    <row r="470" spans="1:27" s="186" customFormat="1" ht="15" customHeight="1">
      <c r="A470" s="215"/>
      <c r="B470" s="168"/>
      <c r="C470" s="668" t="str">
        <f>IF(Q415="","",IF(C469="","",IF(C469+1&lt;=Q415,C469+1,"")))</f>
        <v/>
      </c>
      <c r="D470" s="236"/>
      <c r="E470" s="195"/>
      <c r="F470" s="195"/>
      <c r="G470" s="195"/>
      <c r="H470" s="195"/>
      <c r="I470" s="195"/>
      <c r="J470" s="196"/>
      <c r="K470" s="641"/>
      <c r="L470" s="647" t="str">
        <f t="shared" si="80"/>
        <v/>
      </c>
      <c r="M470" s="651" t="str">
        <f>IF(C470="","",L470-Q422*COS(O415*PI()/180))</f>
        <v/>
      </c>
      <c r="N470" s="652" t="str">
        <f>IF(C470="","",L470+P422*SIN(O415*PI()/180))</f>
        <v/>
      </c>
      <c r="O470" s="644" t="str">
        <f t="shared" si="81"/>
        <v>-</v>
      </c>
      <c r="P470" s="654" t="str">
        <f>IF(C470="","",(PI()*O470/180*(R423*M470-N470*S423)-Q470*(S422*R423-S423*R422))/S421/(R423-S423))</f>
        <v/>
      </c>
      <c r="Q470" s="655" t="str">
        <f>IF(C470="","",O470/180*PI()*(L470-M470)/(R422-S422))</f>
        <v/>
      </c>
      <c r="R470" s="656" t="str">
        <f>IF(C470="","",(O470/180*PI()*N470-Q470*R422-S470*S421)/R423)</f>
        <v/>
      </c>
      <c r="S470" s="657" t="str">
        <f t="shared" si="77"/>
        <v/>
      </c>
      <c r="T470" s="670" t="str">
        <f t="shared" si="78"/>
        <v/>
      </c>
      <c r="U470" s="671" t="str">
        <f t="shared" si="79"/>
        <v/>
      </c>
      <c r="V470" s="333"/>
      <c r="W470" s="185"/>
      <c r="X470" s="141"/>
      <c r="Z470" s="187"/>
      <c r="AA470" s="187"/>
    </row>
    <row r="471" spans="1:27" s="186" customFormat="1" ht="15" customHeight="1">
      <c r="A471" s="215"/>
      <c r="B471" s="168"/>
      <c r="C471" s="668" t="str">
        <f>IF(Q415="","",IF(C470="","",IF(C470+1&lt;=Q415,C470+1,"")))</f>
        <v/>
      </c>
      <c r="D471" s="236"/>
      <c r="E471" s="195"/>
      <c r="F471" s="195"/>
      <c r="G471" s="195"/>
      <c r="H471" s="195"/>
      <c r="I471" s="195"/>
      <c r="J471" s="196"/>
      <c r="K471" s="641"/>
      <c r="L471" s="647" t="str">
        <f t="shared" si="80"/>
        <v/>
      </c>
      <c r="M471" s="651" t="str">
        <f>IF(C471="","",L471-Q422*COS(O415*PI()/180))</f>
        <v/>
      </c>
      <c r="N471" s="652" t="str">
        <f>IF(C471="","",L471+P422*SIN(O415*PI()/180))</f>
        <v/>
      </c>
      <c r="O471" s="644" t="str">
        <f t="shared" si="81"/>
        <v>-</v>
      </c>
      <c r="P471" s="654" t="str">
        <f>IF(C471="","",(PI()*O471/180*(R423*M471-N471*S423)-Q471*(S422*R423-S423*R422))/S421/(R423-S423))</f>
        <v/>
      </c>
      <c r="Q471" s="655" t="str">
        <f>IF(C471="","",O471/180*PI()*(L471-M471)/(R422-S422))</f>
        <v/>
      </c>
      <c r="R471" s="656" t="str">
        <f>IF(C471="","",(O471/180*PI()*N471-Q471*R422-S471*S421)/R423)</f>
        <v/>
      </c>
      <c r="S471" s="657" t="str">
        <f t="shared" si="77"/>
        <v/>
      </c>
      <c r="T471" s="670" t="str">
        <f t="shared" si="78"/>
        <v/>
      </c>
      <c r="U471" s="671" t="str">
        <f t="shared" si="79"/>
        <v/>
      </c>
      <c r="V471" s="333"/>
      <c r="W471" s="185"/>
      <c r="X471" s="141"/>
      <c r="Z471" s="187"/>
      <c r="AA471" s="187"/>
    </row>
    <row r="472" spans="1:27" s="186" customFormat="1" ht="15" customHeight="1">
      <c r="A472" s="215"/>
      <c r="B472" s="168"/>
      <c r="C472" s="668" t="str">
        <f>IF(Q415="","",IF(C471="","",IF(C471+1&lt;=Q415,C471+1,"")))</f>
        <v/>
      </c>
      <c r="D472" s="236"/>
      <c r="E472" s="195"/>
      <c r="F472" s="195"/>
      <c r="G472" s="195"/>
      <c r="H472" s="195"/>
      <c r="I472" s="195"/>
      <c r="J472" s="196"/>
      <c r="K472" s="641"/>
      <c r="L472" s="647" t="str">
        <f t="shared" si="80"/>
        <v/>
      </c>
      <c r="M472" s="651" t="str">
        <f>IF(C472="","",L472-Q422*COS(O415*PI()/180))</f>
        <v/>
      </c>
      <c r="N472" s="652" t="str">
        <f>IF(C472="","",L472+P422*SIN(O415*PI()/180))</f>
        <v/>
      </c>
      <c r="O472" s="644" t="str">
        <f t="shared" si="81"/>
        <v>-</v>
      </c>
      <c r="P472" s="654" t="str">
        <f>IF(C472="","",(PI()*O472/180*(R423*M472-N472*S423)-Q472*(S422*R423-S423*R422))/S421/(R423-S423))</f>
        <v/>
      </c>
      <c r="Q472" s="655" t="str">
        <f>IF(C472="","",O472/180*PI()*(L472-M472)/(R422-S422))</f>
        <v/>
      </c>
      <c r="R472" s="656" t="str">
        <f>IF(C472="","",(O472/180*PI()*N472-Q472*R422-S472*S421)/R423)</f>
        <v/>
      </c>
      <c r="S472" s="657" t="str">
        <f t="shared" si="77"/>
        <v/>
      </c>
      <c r="T472" s="670" t="str">
        <f t="shared" si="78"/>
        <v/>
      </c>
      <c r="U472" s="671" t="str">
        <f t="shared" si="79"/>
        <v/>
      </c>
      <c r="V472" s="333"/>
      <c r="W472" s="185"/>
      <c r="X472" s="141"/>
      <c r="Z472" s="187"/>
      <c r="AA472" s="187"/>
    </row>
    <row r="473" spans="1:27" s="186" customFormat="1" ht="15" customHeight="1">
      <c r="A473" s="215"/>
      <c r="B473" s="168"/>
      <c r="C473" s="668" t="str">
        <f>IF(Q415="","",IF(C472="","",IF(C472+1&lt;=Q415,C472+1,"")))</f>
        <v/>
      </c>
      <c r="D473" s="236"/>
      <c r="E473" s="195"/>
      <c r="F473" s="195"/>
      <c r="G473" s="195"/>
      <c r="H473" s="195"/>
      <c r="I473" s="195"/>
      <c r="J473" s="196"/>
      <c r="K473" s="641"/>
      <c r="L473" s="647" t="str">
        <f t="shared" si="80"/>
        <v/>
      </c>
      <c r="M473" s="651" t="str">
        <f>IF(C473="","",L473-Q422*COS(O415*PI()/180))</f>
        <v/>
      </c>
      <c r="N473" s="652" t="str">
        <f>IF(C473="","",L473+P422*SIN(O415*PI()/180))</f>
        <v/>
      </c>
      <c r="O473" s="644" t="str">
        <f t="shared" si="81"/>
        <v>-</v>
      </c>
      <c r="P473" s="654" t="str">
        <f>IF(C473="","",(PI()*O473/180*(R423*M473-N473*S423)-Q473*(S422*R423-S423*R422))/S421/(R423-S423))</f>
        <v/>
      </c>
      <c r="Q473" s="655" t="str">
        <f>IF(C473="","",O473/180*PI()*(L473-M473)/(R422-S422))</f>
        <v/>
      </c>
      <c r="R473" s="656" t="str">
        <f>IF(C473="","",(O473/180*PI()*N473-Q473*R422-S473*S421)/R423)</f>
        <v/>
      </c>
      <c r="S473" s="657" t="str">
        <f t="shared" si="77"/>
        <v/>
      </c>
      <c r="T473" s="670" t="str">
        <f t="shared" si="78"/>
        <v/>
      </c>
      <c r="U473" s="671" t="str">
        <f t="shared" si="79"/>
        <v/>
      </c>
      <c r="V473" s="333"/>
      <c r="W473" s="185"/>
      <c r="X473" s="141"/>
      <c r="Z473" s="187"/>
      <c r="AA473" s="187"/>
    </row>
    <row r="474" spans="1:27" s="186" customFormat="1" ht="15" customHeight="1">
      <c r="A474" s="215"/>
      <c r="B474" s="168"/>
      <c r="C474" s="668" t="str">
        <f>IF(Q415="","",IF(C473="","",IF(C473+1&lt;=Q415,C473+1,"")))</f>
        <v/>
      </c>
      <c r="D474" s="236"/>
      <c r="E474" s="195"/>
      <c r="F474" s="195"/>
      <c r="G474" s="195"/>
      <c r="H474" s="195"/>
      <c r="I474" s="195"/>
      <c r="J474" s="196"/>
      <c r="K474" s="641"/>
      <c r="L474" s="647" t="str">
        <f t="shared" si="80"/>
        <v/>
      </c>
      <c r="M474" s="651" t="str">
        <f>IF(C474="","",L474-Q422*COS(O415*PI()/180))</f>
        <v/>
      </c>
      <c r="N474" s="652" t="str">
        <f>IF(C474="","",L474+P422*SIN(O415*PI()/180))</f>
        <v/>
      </c>
      <c r="O474" s="644" t="str">
        <f t="shared" si="81"/>
        <v>-</v>
      </c>
      <c r="P474" s="654" t="str">
        <f>IF(C474="","",(PI()*O474/180*(R423*M474-N474*S423)-Q474*(S422*R423-S423*R422))/S421/(R423-S423))</f>
        <v/>
      </c>
      <c r="Q474" s="655" t="str">
        <f>IF(C474="","",O474/180*PI()*(L474-M474)/(R422-S422))</f>
        <v/>
      </c>
      <c r="R474" s="656" t="str">
        <f>IF(C474="","",(O474/180*PI()*N474-Q474*R422-S474*S421)/R423)</f>
        <v/>
      </c>
      <c r="S474" s="657" t="str">
        <f t="shared" si="77"/>
        <v/>
      </c>
      <c r="T474" s="670" t="str">
        <f t="shared" si="78"/>
        <v/>
      </c>
      <c r="U474" s="671" t="str">
        <f t="shared" si="79"/>
        <v/>
      </c>
      <c r="V474" s="333"/>
      <c r="W474" s="185"/>
      <c r="X474" s="141"/>
      <c r="Z474" s="187"/>
      <c r="AA474" s="187"/>
    </row>
    <row r="475" spans="1:27" s="186" customFormat="1" ht="15" customHeight="1">
      <c r="A475" s="215"/>
      <c r="B475" s="168"/>
      <c r="C475" s="668" t="str">
        <f>IF(Q415="","",IF(C474="","",IF(C474+1&lt;=Q415,C474+1,"")))</f>
        <v/>
      </c>
      <c r="D475" s="236"/>
      <c r="E475" s="195"/>
      <c r="F475" s="195"/>
      <c r="G475" s="195"/>
      <c r="H475" s="195"/>
      <c r="I475" s="195"/>
      <c r="J475" s="196"/>
      <c r="K475" s="641"/>
      <c r="L475" s="647" t="str">
        <f t="shared" si="80"/>
        <v/>
      </c>
      <c r="M475" s="651" t="str">
        <f>IF(C475="","",L475-Q422*COS(O415*PI()/180))</f>
        <v/>
      </c>
      <c r="N475" s="652" t="str">
        <f>IF(C475="","",L475+P422*SIN(O415*PI()/180))</f>
        <v/>
      </c>
      <c r="O475" s="644" t="str">
        <f t="shared" si="81"/>
        <v>-</v>
      </c>
      <c r="P475" s="654" t="str">
        <f>IF(C475="","",(PI()*O475/180*(R423*M475-N475*S423)-Q475*(S422*R423-S423*R422))/S421/(R423-S423))</f>
        <v/>
      </c>
      <c r="Q475" s="655" t="str">
        <f>IF(C475="","",O475/180*PI()*(L475-M475)/(R422-S422))</f>
        <v/>
      </c>
      <c r="R475" s="656" t="str">
        <f>IF(C475="","",(O475/180*PI()*N475-Q475*R422-S475*S421)/R423)</f>
        <v/>
      </c>
      <c r="S475" s="657" t="str">
        <f t="shared" si="77"/>
        <v/>
      </c>
      <c r="T475" s="670" t="str">
        <f t="shared" si="78"/>
        <v/>
      </c>
      <c r="U475" s="671" t="str">
        <f t="shared" si="79"/>
        <v/>
      </c>
      <c r="V475" s="333"/>
      <c r="W475" s="185"/>
      <c r="X475" s="141"/>
      <c r="Z475" s="187"/>
      <c r="AA475" s="187"/>
    </row>
    <row r="476" spans="1:27" s="186" customFormat="1" ht="15" customHeight="1">
      <c r="A476" s="215"/>
      <c r="B476" s="168"/>
      <c r="C476" s="668" t="str">
        <f>IF(Q415="","",IF(C475="","",IF(C475+1&lt;=Q415,C475+1,"")))</f>
        <v/>
      </c>
      <c r="D476" s="236"/>
      <c r="E476" s="195"/>
      <c r="F476" s="195"/>
      <c r="G476" s="195"/>
      <c r="H476" s="195"/>
      <c r="I476" s="195"/>
      <c r="J476" s="196"/>
      <c r="K476" s="641"/>
      <c r="L476" s="647" t="str">
        <f t="shared" si="80"/>
        <v/>
      </c>
      <c r="M476" s="651" t="str">
        <f>IF(C476="","",L476-Q422*COS(O415*PI()/180))</f>
        <v/>
      </c>
      <c r="N476" s="652" t="str">
        <f>IF(C476="","",L476+P422*SIN(O415*PI()/180))</f>
        <v/>
      </c>
      <c r="O476" s="644" t="str">
        <f t="shared" si="81"/>
        <v>-</v>
      </c>
      <c r="P476" s="654" t="str">
        <f>IF(C476="","",(PI()*O476/180*(R423*M476-N476*S423)-Q476*(S422*R423-S423*R422))/S421/(R423-S423))</f>
        <v/>
      </c>
      <c r="Q476" s="655" t="str">
        <f>IF(C476="","",O476/180*PI()*(L476-M476)/(R422-S422))</f>
        <v/>
      </c>
      <c r="R476" s="656" t="str">
        <f>IF(C476="","",(O476/180*PI()*N476-Q476*R422-S476*S421)/R423)</f>
        <v/>
      </c>
      <c r="S476" s="657" t="str">
        <f t="shared" si="77"/>
        <v/>
      </c>
      <c r="T476" s="670" t="str">
        <f t="shared" si="78"/>
        <v/>
      </c>
      <c r="U476" s="671" t="str">
        <f t="shared" si="79"/>
        <v/>
      </c>
      <c r="V476" s="333"/>
      <c r="W476" s="185"/>
      <c r="X476" s="141"/>
      <c r="Z476" s="187"/>
      <c r="AA476" s="187"/>
    </row>
    <row r="477" spans="1:27" s="186" customFormat="1" ht="15" customHeight="1">
      <c r="A477" s="215"/>
      <c r="B477" s="168"/>
      <c r="C477" s="668" t="str">
        <f>IF(Q415="","",IF(C476="","",IF(C476+1&lt;=Q415,C476+1,"")))</f>
        <v/>
      </c>
      <c r="D477" s="236"/>
      <c r="E477" s="195"/>
      <c r="F477" s="195"/>
      <c r="G477" s="195"/>
      <c r="H477" s="195"/>
      <c r="I477" s="195"/>
      <c r="J477" s="196"/>
      <c r="K477" s="641"/>
      <c r="L477" s="647" t="str">
        <f t="shared" si="80"/>
        <v/>
      </c>
      <c r="M477" s="651" t="str">
        <f>IF(C477="","",L477-Q422*COS(O415*PI()/180))</f>
        <v/>
      </c>
      <c r="N477" s="652" t="str">
        <f>IF(C477="","",L477+P422*SIN(O415*PI()/180))</f>
        <v/>
      </c>
      <c r="O477" s="644" t="str">
        <f t="shared" si="81"/>
        <v>-</v>
      </c>
      <c r="P477" s="654" t="str">
        <f>IF(C477="","",(PI()*O477/180*(R423*M477-N477*S423)-Q477*(S422*R423-S423*R422))/S421/(R423-S423))</f>
        <v/>
      </c>
      <c r="Q477" s="655" t="str">
        <f>IF(C477="","",O477/180*PI()*(L477-M477)/(R422-S422))</f>
        <v/>
      </c>
      <c r="R477" s="656" t="str">
        <f>IF(C477="","",(O477/180*PI()*N477-Q477*R422-S477*S421)/R423)</f>
        <v/>
      </c>
      <c r="S477" s="657" t="str">
        <f t="shared" si="77"/>
        <v/>
      </c>
      <c r="T477" s="670" t="str">
        <f t="shared" si="78"/>
        <v/>
      </c>
      <c r="U477" s="671" t="str">
        <f t="shared" si="79"/>
        <v/>
      </c>
      <c r="V477" s="333"/>
      <c r="W477" s="185"/>
      <c r="X477" s="141"/>
      <c r="Z477" s="187"/>
      <c r="AA477" s="187"/>
    </row>
    <row r="478" spans="1:27" s="186" customFormat="1" ht="15" customHeight="1" thickBot="1">
      <c r="A478" s="215"/>
      <c r="B478" s="168"/>
      <c r="C478" s="669" t="str">
        <f>IF(Q415="","",IF(C477="","",IF(C477+1&lt;=Q415,C477+1,"")))</f>
        <v/>
      </c>
      <c r="D478" s="236"/>
      <c r="E478" s="195"/>
      <c r="F478" s="195"/>
      <c r="G478" s="195"/>
      <c r="H478" s="195"/>
      <c r="I478" s="195"/>
      <c r="J478" s="196"/>
      <c r="K478" s="641"/>
      <c r="L478" s="648" t="str">
        <f t="shared" si="80"/>
        <v/>
      </c>
      <c r="M478" s="708" t="str">
        <f>IF(C478="","",L478-Q422*COS(O415*PI()/180))</f>
        <v/>
      </c>
      <c r="N478" s="709" t="str">
        <f>IF(C478="","",L478+P422*SIN(O415*PI()/180))</f>
        <v/>
      </c>
      <c r="O478" s="645" t="str">
        <f t="shared" si="81"/>
        <v>-</v>
      </c>
      <c r="P478" s="703" t="str">
        <f>IF(C478="","",(PI()*O478/180*(R423*M478-N478*S423)-Q478*(S422*R423-S423*R422))/S421/(R423-S423))</f>
        <v/>
      </c>
      <c r="Q478" s="704" t="str">
        <f>IF(C478="","",O478/180*PI()*(L478-M478)/(R422-S422))</f>
        <v/>
      </c>
      <c r="R478" s="705" t="str">
        <f>IF(C478="","",(O478/180*PI()*N478-Q478*R422-S478*S421)/R423)</f>
        <v/>
      </c>
      <c r="S478" s="698" t="str">
        <f t="shared" si="77"/>
        <v/>
      </c>
      <c r="T478" s="699" t="str">
        <f t="shared" si="78"/>
        <v/>
      </c>
      <c r="U478" s="700" t="str">
        <f t="shared" si="79"/>
        <v/>
      </c>
      <c r="V478" s="333"/>
      <c r="W478" s="185"/>
      <c r="X478" s="141"/>
      <c r="Z478" s="187"/>
      <c r="AA478" s="187"/>
    </row>
    <row r="479" spans="1:27" s="186" customFormat="1" ht="15" customHeight="1">
      <c r="A479" s="215"/>
      <c r="B479" s="194"/>
      <c r="C479" s="200"/>
      <c r="D479" s="195"/>
      <c r="E479" s="195"/>
      <c r="F479" s="195"/>
      <c r="G479" s="195"/>
      <c r="H479" s="195"/>
      <c r="I479" s="195"/>
      <c r="J479" s="196"/>
      <c r="K479" s="196"/>
      <c r="L479" s="144"/>
      <c r="M479" s="195"/>
      <c r="N479" s="195"/>
      <c r="O479" s="195"/>
      <c r="P479" s="195"/>
      <c r="Q479" s="195"/>
      <c r="R479" s="195"/>
      <c r="S479" s="195"/>
      <c r="T479" s="195"/>
      <c r="U479" s="195"/>
      <c r="V479" s="197"/>
      <c r="W479" s="185"/>
      <c r="X479" s="141"/>
      <c r="Z479" s="187"/>
      <c r="AA479" s="187"/>
    </row>
    <row r="480" spans="1:27" s="186" customFormat="1" ht="15" customHeight="1">
      <c r="A480" s="215"/>
      <c r="B480" s="194"/>
      <c r="C480" s="200"/>
      <c r="D480" s="195"/>
      <c r="E480" s="195"/>
      <c r="F480" s="195"/>
      <c r="G480" s="195"/>
      <c r="H480" s="195"/>
      <c r="I480" s="195"/>
      <c r="J480" s="196"/>
      <c r="K480" s="196"/>
      <c r="L480" s="144"/>
      <c r="M480" s="195"/>
      <c r="N480" s="195"/>
      <c r="O480" s="195"/>
      <c r="P480" s="195"/>
      <c r="Q480" s="195"/>
      <c r="R480" s="195"/>
      <c r="S480" s="195"/>
      <c r="T480" s="195"/>
      <c r="U480" s="195"/>
      <c r="V480" s="197"/>
      <c r="W480" s="185"/>
      <c r="X480" s="141"/>
      <c r="Z480" s="187"/>
      <c r="AA480" s="187"/>
    </row>
    <row r="481" spans="1:27" s="186" customFormat="1" ht="15" customHeight="1" thickBot="1">
      <c r="A481" s="215"/>
      <c r="B481" s="279" t="s">
        <v>1010</v>
      </c>
      <c r="C481" s="280"/>
      <c r="D481" s="281"/>
      <c r="E481" s="281"/>
      <c r="F481" s="281"/>
      <c r="G481" s="281"/>
      <c r="H481" s="281"/>
      <c r="I481" s="281"/>
      <c r="J481" s="282"/>
      <c r="K481" s="282"/>
      <c r="L481" s="283"/>
      <c r="M481" s="281"/>
      <c r="N481" s="281"/>
      <c r="O481" s="281"/>
      <c r="P481" s="281"/>
      <c r="Q481" s="281"/>
      <c r="R481" s="281"/>
      <c r="S481" s="284"/>
      <c r="T481" s="281"/>
      <c r="U481" s="281" t="s">
        <v>678</v>
      </c>
      <c r="V481" s="285" t="s">
        <v>27</v>
      </c>
      <c r="W481" s="286"/>
      <c r="X481" s="287"/>
      <c r="Z481" s="187"/>
      <c r="AA481" s="187"/>
    </row>
    <row r="482" spans="1:27" s="186" customFormat="1" ht="15" customHeight="1" thickBot="1">
      <c r="A482" s="215"/>
      <c r="B482" s="210"/>
      <c r="C482" s="133">
        <f>SUMIF(Densidades!A:A,'Memória TOTAL'!X482,Densidades!B:B)</f>
        <v>0</v>
      </c>
      <c r="D482" s="134">
        <f>SUMIF(Densidades!A:A,'Memória TOTAL'!X482,Densidades!C:C)</f>
        <v>0</v>
      </c>
      <c r="E482" s="134" t="str">
        <f>IF(I482=15,"FIRECLAY MORTAR",IF(I482=16,"ALUMINA MORTAR",IF(I482=17,"BASIC MORTAR",IF(I482=18,"MORTAR","-"))))</f>
        <v>-</v>
      </c>
      <c r="F482" s="134" t="str">
        <f>IF(I482=15,"FIRECLAY MORTAR",IF(I482=16,"ALUMINA MORTAR",IF(I482=17,"BASIC MORTAR",IF(I482=18,"MORTAR","-"))))</f>
        <v>-</v>
      </c>
      <c r="G482" s="134" t="str">
        <f>IF(I482=15,"FIRECLAY MORTAR",IF(I482=16,"ALUMINA MORTAR",IF(I482=17,"BASIC MORTAR",IF(I482=18,"MORTAR","-"))))</f>
        <v>-</v>
      </c>
      <c r="H482" s="134" t="str">
        <f>IF(I482=15,"FIRECLAY MORTAR",IF(I482=16,"ALUMINA MORTAR",IF(I482=17,"BASIC MORTAR",IF(I482=18,"MORTAR","-"))))</f>
        <v>-</v>
      </c>
      <c r="I482" s="134">
        <f>SUMIF(Densidades!A:A,'Memória TOTAL'!X482,Densidades!G:G)</f>
        <v>0</v>
      </c>
      <c r="J482" s="136">
        <f>SUMIF(Formatos!A:A,'Memória TOTAL'!X483,Formatos!G:G)</f>
        <v>0</v>
      </c>
      <c r="K482" s="137">
        <f>SUMIF(Densidades!A:A,'Memória TOTAL'!X482,Densidades!I:I)</f>
        <v>0</v>
      </c>
      <c r="L482" s="188">
        <v>0</v>
      </c>
      <c r="M482" s="189"/>
      <c r="N482" s="189"/>
      <c r="O482" s="189"/>
      <c r="P482" s="189"/>
      <c r="Q482" s="189"/>
      <c r="R482" s="189"/>
      <c r="S482" s="189"/>
      <c r="T482" s="190"/>
      <c r="U482" s="290"/>
      <c r="V482" s="192" t="e">
        <f>(W415*J415*C482+W419*J419*C482+W423*J423*C482)*U482</f>
        <v>#VALUE!</v>
      </c>
      <c r="W482" s="193" t="str">
        <f>IF(C482=0,"",ROUNDUP(SUM(V482:V483)*(1+L482)/D482,2)*D482)</f>
        <v/>
      </c>
      <c r="X482" s="263"/>
      <c r="Z482" s="187"/>
      <c r="AA482" s="187"/>
    </row>
    <row r="483" spans="1:27" s="186" customFormat="1" ht="15" customHeight="1">
      <c r="A483" s="215"/>
      <c r="B483" s="210"/>
      <c r="C483" s="133"/>
      <c r="D483" s="195"/>
      <c r="E483" s="195"/>
      <c r="F483" s="195"/>
      <c r="G483" s="195"/>
      <c r="H483" s="195"/>
      <c r="I483" s="195"/>
      <c r="J483" s="196"/>
      <c r="K483" s="196"/>
      <c r="L483" s="144"/>
      <c r="M483" s="195"/>
      <c r="N483" s="195"/>
      <c r="O483" s="195"/>
      <c r="P483" s="195"/>
      <c r="Q483" s="195"/>
      <c r="R483" s="195"/>
      <c r="S483" s="195"/>
      <c r="T483" s="195"/>
      <c r="U483" s="195"/>
      <c r="V483" s="197"/>
      <c r="W483" s="185"/>
      <c r="X483" s="141" t="str">
        <f>IF(AND(H482="-",G482="-",F482="-"),E482,IF(AND(H482="-",G482="-",E482="-"),F482,IF(AND(H482="-",F482="-",E482="-"),G482,H482)))</f>
        <v>-</v>
      </c>
      <c r="Z483" s="187"/>
      <c r="AA483" s="187"/>
    </row>
    <row r="484" spans="1:27" s="186" customFormat="1" ht="15" customHeight="1">
      <c r="A484" s="215"/>
      <c r="B484" s="213"/>
      <c r="C484" s="133"/>
      <c r="D484" s="195"/>
      <c r="E484" s="195"/>
      <c r="F484" s="195"/>
      <c r="G484" s="195"/>
      <c r="H484" s="195"/>
      <c r="I484" s="195"/>
      <c r="J484" s="196"/>
      <c r="K484" s="196"/>
      <c r="L484" s="144"/>
      <c r="M484" s="195"/>
      <c r="N484" s="195"/>
      <c r="O484" s="195"/>
      <c r="P484" s="195"/>
      <c r="Q484" s="195"/>
      <c r="R484" s="195"/>
      <c r="S484" s="195"/>
      <c r="T484" s="195"/>
      <c r="U484" s="195"/>
      <c r="V484" s="197"/>
      <c r="W484" s="185"/>
      <c r="X484" s="141" t="s">
        <v>2</v>
      </c>
      <c r="Z484" s="187"/>
      <c r="AA484" s="187"/>
    </row>
    <row r="485" spans="1:27" ht="15" customHeight="1">
      <c r="A485" s="215"/>
      <c r="B485" s="131"/>
      <c r="C485" s="169"/>
      <c r="D485" s="170"/>
      <c r="E485" s="170"/>
      <c r="F485" s="170"/>
      <c r="G485" s="170"/>
      <c r="H485" s="170"/>
      <c r="I485" s="170"/>
      <c r="J485" s="171"/>
      <c r="K485" s="171"/>
      <c r="L485" s="172"/>
      <c r="M485" s="170"/>
      <c r="N485" s="170"/>
      <c r="O485" s="170"/>
      <c r="P485" s="170"/>
      <c r="Q485" s="170"/>
      <c r="R485" s="170"/>
      <c r="S485" s="170"/>
      <c r="T485" s="170"/>
      <c r="U485" s="170"/>
      <c r="V485" s="173"/>
      <c r="W485" s="174"/>
      <c r="X485" s="175"/>
      <c r="Y485" s="186"/>
    </row>
    <row r="486" spans="1:27" s="186" customFormat="1" ht="15" customHeight="1" thickBot="1">
      <c r="A486" s="215"/>
      <c r="B486" s="279" t="s">
        <v>1011</v>
      </c>
      <c r="C486" s="280"/>
      <c r="D486" s="281"/>
      <c r="E486" s="281"/>
      <c r="F486" s="281"/>
      <c r="G486" s="281"/>
      <c r="H486" s="281"/>
      <c r="I486" s="281"/>
      <c r="J486" s="282"/>
      <c r="K486" s="282"/>
      <c r="L486" s="283"/>
      <c r="M486" s="281"/>
      <c r="N486" s="281"/>
      <c r="O486" s="281"/>
      <c r="P486" s="281"/>
      <c r="Q486" s="281"/>
      <c r="R486" s="281" t="s">
        <v>636</v>
      </c>
      <c r="S486" s="284" t="s">
        <v>637</v>
      </c>
      <c r="T486" s="281" t="s">
        <v>638</v>
      </c>
      <c r="U486" s="281" t="s">
        <v>38</v>
      </c>
      <c r="V486" s="285" t="s">
        <v>27</v>
      </c>
      <c r="W486" s="286"/>
      <c r="X486" s="287"/>
      <c r="Z486" s="187"/>
      <c r="AA486" s="187"/>
    </row>
    <row r="487" spans="1:27" s="186" customFormat="1" ht="15" customHeight="1" thickBot="1">
      <c r="A487" s="215"/>
      <c r="B487" s="210"/>
      <c r="C487" s="133">
        <f>SUMIF(Densidades!A:A,'Memória TOTAL'!X487,Densidades!B:B)</f>
        <v>0</v>
      </c>
      <c r="D487" s="134">
        <f>SUMIF(Densidades!A:A,'Memória TOTAL'!X487,Densidades!C:C)</f>
        <v>0</v>
      </c>
      <c r="E487" s="134" t="str">
        <f>IF(I487=15,"FIRECLAY MORTAR",IF(I487=16,"ALUMINA MORTAR",IF(I487=17,"BASIC MORTAR",IF(I487=18,"MORTAR","-"))))</f>
        <v>-</v>
      </c>
      <c r="F487" s="134" t="str">
        <f>IF(I487=15,"FIRECLAY MORTAR",IF(I487=16,"ALUMINA MORTAR",IF(I487=17,"BASIC MORTAR",IF(I487=18,"MORTAR","-"))))</f>
        <v>-</v>
      </c>
      <c r="G487" s="134" t="str">
        <f>IF(I487=15,"FIRECLAY MORTAR",IF(I487=16,"ALUMINA MORTAR",IF(I487=17,"BASIC MORTAR",IF(I487=18,"MORTAR","-"))))</f>
        <v>-</v>
      </c>
      <c r="H487" s="134" t="str">
        <f>IF(I487=15,"FIRECLAY MORTAR",IF(I487=16,"ALUMINA MORTAR",IF(I487=17,"BASIC MORTAR",IF(I487=18,"MORTAR","-"))))</f>
        <v>-</v>
      </c>
      <c r="I487" s="134">
        <f>SUMIF(Densidades!A:A,'Memória TOTAL'!X487,Densidades!G:G)</f>
        <v>0</v>
      </c>
      <c r="J487" s="136">
        <f>SUMIF(Formatos!A:A,'Memória TOTAL'!X488,Formatos!G:G)</f>
        <v>0</v>
      </c>
      <c r="K487" s="222">
        <f>SUMIF(Densidades!A:A,'Memória TOTAL'!X487,Densidades!I:I)</f>
        <v>0</v>
      </c>
      <c r="L487" s="188">
        <v>0</v>
      </c>
      <c r="M487" s="189"/>
      <c r="N487" s="189"/>
      <c r="O487" s="189"/>
      <c r="P487" s="189"/>
      <c r="Q487" s="189"/>
      <c r="R487" s="190">
        <f>((G415*H415)+(G415*E415)+(H415*E415))/1000000</f>
        <v>0</v>
      </c>
      <c r="S487" s="259">
        <v>2</v>
      </c>
      <c r="T487" s="190">
        <f>R487*S487</f>
        <v>0</v>
      </c>
      <c r="U487" s="191">
        <f>SUM(W415:W425)</f>
        <v>0</v>
      </c>
      <c r="V487" s="192">
        <f>(T487*C487*(1+L487))*U487</f>
        <v>0</v>
      </c>
      <c r="W487" s="140" t="str">
        <f>IF(C487=0,"",ROUNDUP(SUM(V487:V488)*(1+L487)/D487,2)*D487)</f>
        <v/>
      </c>
      <c r="X487" s="263"/>
      <c r="Z487" s="187"/>
      <c r="AA487" s="187"/>
    </row>
    <row r="488" spans="1:27" s="186" customFormat="1" ht="15" customHeight="1">
      <c r="A488" s="215"/>
      <c r="B488" s="210"/>
      <c r="C488" s="133"/>
      <c r="D488" s="195"/>
      <c r="E488" s="195"/>
      <c r="F488" s="195"/>
      <c r="G488" s="195"/>
      <c r="H488" s="195"/>
      <c r="I488" s="195"/>
      <c r="J488" s="196"/>
      <c r="K488" s="196"/>
      <c r="L488" s="144"/>
      <c r="M488" s="195"/>
      <c r="N488" s="195"/>
      <c r="O488" s="195"/>
      <c r="P488" s="195"/>
      <c r="Q488" s="195"/>
      <c r="R488" s="195"/>
      <c r="S488" s="195"/>
      <c r="T488" s="195"/>
      <c r="U488" s="195"/>
      <c r="V488" s="197"/>
      <c r="W488" s="185"/>
      <c r="X488" s="141" t="str">
        <f>IF(AND(H487="-",G487="-",F487="-"),E487,IF(AND(H487="-",G487="-",E487="-"),F487,IF(AND(H487="-",F487="-",E487="-"),G487,H487)))</f>
        <v>-</v>
      </c>
      <c r="Z488" s="187"/>
      <c r="AA488" s="187"/>
    </row>
    <row r="489" spans="1:27" s="186" customFormat="1" ht="15" customHeight="1">
      <c r="A489" s="215"/>
      <c r="B489" s="213"/>
      <c r="C489" s="133"/>
      <c r="D489" s="195"/>
      <c r="E489" s="195"/>
      <c r="F489" s="195"/>
      <c r="G489" s="195"/>
      <c r="H489" s="195"/>
      <c r="I489" s="195"/>
      <c r="J489" s="196"/>
      <c r="K489" s="196"/>
      <c r="L489" s="144"/>
      <c r="M489" s="195"/>
      <c r="N489" s="195"/>
      <c r="O489" s="195"/>
      <c r="P489" s="195"/>
      <c r="Q489" s="195"/>
      <c r="R489" s="195"/>
      <c r="S489" s="195"/>
      <c r="T489" s="195"/>
      <c r="U489" s="195"/>
      <c r="V489" s="197"/>
      <c r="W489" s="185"/>
      <c r="X489" s="141" t="s">
        <v>2</v>
      </c>
      <c r="Z489" s="187"/>
      <c r="AA489" s="187"/>
    </row>
    <row r="490" spans="1:27" s="186" customFormat="1" ht="15" customHeight="1">
      <c r="A490" s="214"/>
      <c r="B490" s="210"/>
      <c r="C490" s="298"/>
      <c r="D490" s="195"/>
      <c r="E490" s="195"/>
      <c r="F490" s="195"/>
      <c r="G490" s="195"/>
      <c r="H490" s="195"/>
      <c r="I490" s="195"/>
      <c r="J490" s="196"/>
      <c r="K490" s="196"/>
      <c r="L490" s="144"/>
      <c r="M490" s="195"/>
      <c r="N490" s="195"/>
      <c r="O490" s="195"/>
      <c r="P490" s="195"/>
      <c r="Q490" s="195"/>
      <c r="R490" s="195"/>
      <c r="S490" s="195"/>
      <c r="T490" s="195"/>
      <c r="U490" s="195"/>
      <c r="V490" s="197"/>
      <c r="W490" s="185"/>
      <c r="X490" s="141"/>
      <c r="Z490" s="187"/>
      <c r="AA490" s="187"/>
    </row>
    <row r="491" spans="1:27" s="186" customFormat="1" ht="15" customHeight="1" thickBot="1">
      <c r="A491" s="214"/>
      <c r="B491" s="509"/>
      <c r="C491" s="510"/>
      <c r="D491" s="497"/>
      <c r="E491" s="498"/>
      <c r="F491" s="498"/>
      <c r="G491" s="498"/>
      <c r="H491" s="498"/>
      <c r="I491" s="499"/>
      <c r="J491" s="499"/>
      <c r="K491" s="499"/>
      <c r="L491" s="512"/>
      <c r="M491" s="512"/>
      <c r="N491" s="512"/>
      <c r="O491" s="512"/>
      <c r="P491" s="512"/>
      <c r="Q491" s="512"/>
      <c r="R491" s="512"/>
      <c r="S491" s="512"/>
      <c r="T491" s="512"/>
      <c r="U491" s="512"/>
      <c r="V491" s="512"/>
      <c r="W491" s="512"/>
      <c r="X491" s="513"/>
      <c r="Z491" s="187"/>
      <c r="AA491" s="187"/>
    </row>
    <row r="492" spans="1:27" ht="15" customHeight="1" thickBot="1">
      <c r="A492" s="215"/>
      <c r="B492" s="272" t="str">
        <f>IF(X493="","TIJOLO COMPOSIÇÃO PERÍMETRO (1 PEÇA)",X493)</f>
        <v>TIJOLO COMPOSIÇÃO PERÍMETRO (1 PEÇA)</v>
      </c>
      <c r="C492" s="273" t="s">
        <v>101</v>
      </c>
      <c r="D492" s="274" t="s">
        <v>102</v>
      </c>
      <c r="E492" s="274" t="s">
        <v>42</v>
      </c>
      <c r="F492" s="274" t="s">
        <v>42</v>
      </c>
      <c r="G492" s="274" t="s">
        <v>43</v>
      </c>
      <c r="H492" s="274" t="s">
        <v>44</v>
      </c>
      <c r="I492" s="274" t="s">
        <v>47</v>
      </c>
      <c r="J492" s="274" t="s">
        <v>103</v>
      </c>
      <c r="K492" s="274" t="s">
        <v>37</v>
      </c>
      <c r="L492" s="274" t="s">
        <v>39</v>
      </c>
      <c r="M492" s="274" t="s">
        <v>45</v>
      </c>
      <c r="N492" s="274" t="s">
        <v>46</v>
      </c>
      <c r="O492" s="274" t="s">
        <v>672</v>
      </c>
      <c r="P492" s="274" t="s">
        <v>51</v>
      </c>
      <c r="Q492" s="274" t="s">
        <v>52</v>
      </c>
      <c r="R492" s="274"/>
      <c r="S492" s="274"/>
      <c r="T492" s="274" t="s">
        <v>673</v>
      </c>
      <c r="U492" s="274" t="s">
        <v>677</v>
      </c>
      <c r="V492" s="275" t="s">
        <v>27</v>
      </c>
      <c r="W492" s="276"/>
      <c r="X492" s="277"/>
    </row>
    <row r="493" spans="1:27" ht="15" customHeight="1" thickBot="1">
      <c r="A493" s="244"/>
      <c r="B493" s="246" t="s">
        <v>674</v>
      </c>
      <c r="C493" s="245">
        <f>SUMIF(Densidades!A:A,'Memória TOTAL'!X493,Densidades!B:B)</f>
        <v>0</v>
      </c>
      <c r="D493" s="134">
        <f>SUMIF(Densidades!A:A,'Memória TOTAL'!X493,Densidades!C:C)</f>
        <v>0</v>
      </c>
      <c r="E493" s="970">
        <f>SUMIF(Formatos!A:A,'Memória TOTAL'!X494,Formatos!E:E)</f>
        <v>0</v>
      </c>
      <c r="F493" s="970">
        <f>SUMIF(Formatos!A:A,'Memória TOTAL'!X494,Formatos!F:F)</f>
        <v>0</v>
      </c>
      <c r="G493" s="970">
        <f>SUMIF(Formatos!A:A,'Memória TOTAL'!X494,Formatos!C:C)</f>
        <v>0</v>
      </c>
      <c r="H493" s="970">
        <f>SUMIF(Formatos!A:A,'Memória TOTAL'!X494,Formatos!D:D)</f>
        <v>0</v>
      </c>
      <c r="I493" s="135">
        <f>SUMIF(Densidades!A:A,'Memória TOTAL'!X493,Densidades!H:H)</f>
        <v>0</v>
      </c>
      <c r="J493" s="136">
        <f>SUMIF(Formatos!A:A,'Memória TOTAL'!X494,Formatos!G:G)</f>
        <v>0</v>
      </c>
      <c r="K493" s="137">
        <f>SUMIF(Densidades!A:A,'Memória TOTAL'!X493,Densidades!I:I)</f>
        <v>0</v>
      </c>
      <c r="L493" s="253">
        <v>0</v>
      </c>
      <c r="M493" s="608"/>
      <c r="N493" s="256"/>
      <c r="O493" s="257"/>
      <c r="P493" s="255">
        <f>O493*2</f>
        <v>0</v>
      </c>
      <c r="Q493" s="139">
        <f>P493-(2*M493)</f>
        <v>0</v>
      </c>
      <c r="R493" s="139"/>
      <c r="S493" s="260"/>
      <c r="T493" s="261">
        <f>IF(AND(B495=0,B497=0),,IF(AND(B497=0,B495&lt;&gt;0),1,IF(OR(B497-B495&gt;=0,B497=0),(B497-B495)+1,"ERRO")))</f>
        <v>0</v>
      </c>
      <c r="U493" s="257"/>
      <c r="V493" s="256" t="str">
        <f>IF(M493="","",IF(M493=H497,ROUND(P503,0),"ESP. ERRADA"))</f>
        <v/>
      </c>
      <c r="W493" s="262" t="str">
        <f>IFERROR(IF(C493=0,"",ROUNDUP(SUM(V493)*(1+L493),0))*T493*U493,"")</f>
        <v/>
      </c>
      <c r="X493" s="263"/>
    </row>
    <row r="494" spans="1:27" s="186" customFormat="1" ht="15" customHeight="1" thickBot="1">
      <c r="A494" s="264"/>
      <c r="B494" s="249" t="s">
        <v>112</v>
      </c>
      <c r="C494" s="236"/>
      <c r="D494" s="195"/>
      <c r="E494" s="195"/>
      <c r="F494" s="195"/>
      <c r="G494" s="195"/>
      <c r="H494" s="195"/>
      <c r="I494" s="195"/>
      <c r="J494" s="196"/>
      <c r="K494" s="196"/>
      <c r="L494" s="144"/>
      <c r="M494" s="195"/>
      <c r="N494" s="195"/>
      <c r="O494" s="195"/>
      <c r="P494" s="195"/>
      <c r="Q494" s="195"/>
      <c r="R494" s="195"/>
      <c r="S494" s="195"/>
      <c r="T494" s="195"/>
      <c r="U494" s="195"/>
      <c r="V494" s="197"/>
      <c r="W494" s="185"/>
      <c r="X494" s="141" t="str">
        <f>IF(B499="","",B499)</f>
        <v/>
      </c>
      <c r="Z494" s="187"/>
      <c r="AA494" s="187"/>
    </row>
    <row r="495" spans="1:27" s="186" customFormat="1" ht="15" customHeight="1" thickBot="1">
      <c r="A495" s="264"/>
      <c r="B495" s="265"/>
      <c r="C495" s="236"/>
      <c r="D495" s="195"/>
      <c r="E495" s="195"/>
      <c r="F495" s="195"/>
      <c r="G495" s="195"/>
      <c r="H495" s="195"/>
      <c r="I495" s="195"/>
      <c r="J495" s="196"/>
      <c r="K495" s="196"/>
      <c r="L495" s="144"/>
      <c r="M495" s="195"/>
      <c r="N495" s="195"/>
      <c r="O495" s="195"/>
      <c r="P495" s="195"/>
      <c r="Q495" s="195"/>
      <c r="R495" s="195"/>
      <c r="S495" s="195"/>
      <c r="T495" s="195"/>
      <c r="U495" s="195"/>
      <c r="V495" s="197"/>
      <c r="W495" s="185"/>
      <c r="X495" s="141" t="s">
        <v>524</v>
      </c>
      <c r="Z495" s="187"/>
      <c r="AA495" s="187"/>
    </row>
    <row r="496" spans="1:27" s="186" customFormat="1" ht="15" customHeight="1" thickBot="1">
      <c r="A496" s="264"/>
      <c r="B496" s="249" t="s">
        <v>22</v>
      </c>
      <c r="C496" s="299" t="str">
        <f t="shared" ref="C496:L496" si="82">C492</f>
        <v>Dens.</v>
      </c>
      <c r="D496" s="182" t="str">
        <f t="shared" si="82"/>
        <v>Emb.</v>
      </c>
      <c r="E496" s="182" t="str">
        <f t="shared" si="82"/>
        <v>Esp. Tij.</v>
      </c>
      <c r="F496" s="182" t="str">
        <f t="shared" si="82"/>
        <v>Esp. Tij.</v>
      </c>
      <c r="G496" s="182" t="str">
        <f t="shared" si="82"/>
        <v>Comp. Tij.</v>
      </c>
      <c r="H496" s="182" t="str">
        <f t="shared" si="82"/>
        <v>Larg. Tij.</v>
      </c>
      <c r="I496" s="182" t="str">
        <f t="shared" si="82"/>
        <v>Tipo Fator</v>
      </c>
      <c r="J496" s="182" t="str">
        <f t="shared" si="82"/>
        <v>Vol.</v>
      </c>
      <c r="K496" s="182" t="str">
        <f t="shared" si="82"/>
        <v>Class.</v>
      </c>
      <c r="L496" s="182" t="str">
        <f t="shared" si="82"/>
        <v>Coefic. (%)</v>
      </c>
      <c r="M496" s="195"/>
      <c r="N496" s="195"/>
      <c r="O496" s="195"/>
      <c r="P496" s="195"/>
      <c r="Q496" s="195"/>
      <c r="R496" s="195"/>
      <c r="S496" s="195"/>
      <c r="T496" s="195"/>
      <c r="U496" s="195"/>
      <c r="V496" s="197"/>
      <c r="W496" s="185"/>
      <c r="X496" s="141"/>
      <c r="Z496" s="187"/>
      <c r="AA496" s="187"/>
    </row>
    <row r="497" spans="1:27" s="186" customFormat="1" ht="15" customHeight="1" thickBot="1">
      <c r="A497" s="264"/>
      <c r="B497" s="265"/>
      <c r="C497" s="245">
        <f>SUMIF(Densidades!A:A,'Memória TOTAL'!X497,Densidades!B:B)</f>
        <v>0</v>
      </c>
      <c r="D497" s="134">
        <f>SUMIF(Densidades!A:A,'Memória TOTAL'!X497,Densidades!C:C)</f>
        <v>0</v>
      </c>
      <c r="E497" s="135">
        <f>IF(M493=E493,H493,E493)</f>
        <v>0</v>
      </c>
      <c r="F497" s="135">
        <f>IF(M493=E493,H493,F493)</f>
        <v>0</v>
      </c>
      <c r="G497" s="135">
        <f>IF(M493=G493,H493,G493)</f>
        <v>0</v>
      </c>
      <c r="H497" s="135">
        <f>IF(M493=E493,E493,IF(M493=G493,G493,H493))</f>
        <v>0</v>
      </c>
      <c r="I497" s="135">
        <f>SUMIF(Densidades!A:A,'Memória TOTAL'!X497,Densidades!H:H)</f>
        <v>0</v>
      </c>
      <c r="J497" s="136">
        <f>SUMIF(Formatos!A:A,'Memória TOTAL'!X498,Formatos!G:G)</f>
        <v>0</v>
      </c>
      <c r="K497" s="222">
        <f>SUMIF(Densidades!A:A,'Memória TOTAL'!X497,Densidades!I:I)</f>
        <v>0</v>
      </c>
      <c r="L497" s="223">
        <v>0</v>
      </c>
      <c r="M497" s="195"/>
      <c r="N497" s="195"/>
      <c r="O497" s="195"/>
      <c r="P497" s="195"/>
      <c r="Q497" s="195"/>
      <c r="R497" s="195"/>
      <c r="S497" s="195"/>
      <c r="T497" s="232"/>
      <c r="U497" s="235"/>
      <c r="V497" s="197"/>
      <c r="W497" s="185"/>
      <c r="X497" s="141"/>
      <c r="Z497" s="187"/>
      <c r="AA497" s="187"/>
    </row>
    <row r="498" spans="1:27" s="186" customFormat="1" ht="15" customHeight="1" thickBot="1">
      <c r="A498" s="264"/>
      <c r="B498" s="247" t="s">
        <v>675</v>
      </c>
      <c r="C498" s="236"/>
      <c r="D498" s="195"/>
      <c r="E498" s="195"/>
      <c r="F498" s="195"/>
      <c r="G498" s="195"/>
      <c r="H498" s="195"/>
      <c r="I498" s="195"/>
      <c r="J498" s="196"/>
      <c r="K498" s="196"/>
      <c r="L498" s="144"/>
      <c r="M498" s="195"/>
      <c r="N498" s="195"/>
      <c r="O498" s="195"/>
      <c r="P498" s="195"/>
      <c r="Q498" s="195"/>
      <c r="R498" s="195"/>
      <c r="S498" s="195"/>
      <c r="T498" s="195"/>
      <c r="U498" s="195"/>
      <c r="V498" s="197"/>
      <c r="W498" s="185"/>
      <c r="X498" s="141"/>
      <c r="Z498" s="187"/>
      <c r="AA498" s="187"/>
    </row>
    <row r="499" spans="1:27" s="186" customFormat="1" ht="15" customHeight="1" thickBot="1">
      <c r="A499" s="264"/>
      <c r="B499" s="263"/>
      <c r="C499" s="243" t="s">
        <v>54</v>
      </c>
      <c r="D499" s="239"/>
      <c r="E499" s="195"/>
      <c r="F499" s="238"/>
      <c r="G499" s="238"/>
      <c r="H499" s="148" t="s">
        <v>54</v>
      </c>
      <c r="I499" s="148"/>
      <c r="J499" s="196"/>
      <c r="K499" s="196"/>
      <c r="L499" s="144"/>
      <c r="M499" s="195"/>
      <c r="N499" s="195" t="s">
        <v>22</v>
      </c>
      <c r="O499" s="149" t="s">
        <v>48</v>
      </c>
      <c r="P499" s="149"/>
      <c r="Q499" s="150"/>
      <c r="R499" s="149" t="s">
        <v>54</v>
      </c>
      <c r="S499" s="149"/>
      <c r="T499" s="195"/>
      <c r="U499" s="195"/>
      <c r="V499" s="197"/>
      <c r="W499" s="185"/>
      <c r="X499" s="141"/>
      <c r="Z499" s="187"/>
      <c r="AA499" s="187"/>
    </row>
    <row r="500" spans="1:27" s="186" customFormat="1" ht="15" customHeight="1" thickBot="1">
      <c r="A500" s="264"/>
      <c r="B500" s="210"/>
      <c r="C500" s="243"/>
      <c r="D500" s="239"/>
      <c r="E500" s="195"/>
      <c r="F500" s="195"/>
      <c r="G500" s="195"/>
      <c r="H500" s="240" t="e">
        <f>P493*PI()/(E497+N493)</f>
        <v>#DIV/0!</v>
      </c>
      <c r="I500" s="240"/>
      <c r="J500" s="196"/>
      <c r="K500" s="196"/>
      <c r="L500" s="144"/>
      <c r="M500" s="735" t="s">
        <v>108</v>
      </c>
      <c r="N500" s="195">
        <f>E497</f>
        <v>0</v>
      </c>
      <c r="O500" s="151">
        <f>F497</f>
        <v>0</v>
      </c>
      <c r="P500" s="151"/>
      <c r="Q500" s="157"/>
      <c r="R500" s="151" t="e">
        <f>IF(ROUND(H500+0.4,0)&gt;=0,ROUND(H500+0.4,0),"ERRO")</f>
        <v>#DIV/0!</v>
      </c>
      <c r="S500" s="151"/>
      <c r="T500" s="195"/>
      <c r="U500" s="195"/>
      <c r="V500" s="197"/>
      <c r="W500" s="231"/>
      <c r="X500" s="141"/>
      <c r="Z500" s="187"/>
      <c r="AA500" s="187"/>
    </row>
    <row r="501" spans="1:27" s="155" customFormat="1" ht="15" customHeight="1" thickBot="1">
      <c r="A501" s="248"/>
      <c r="B501" s="247" t="s">
        <v>676</v>
      </c>
      <c r="C501" s="236"/>
      <c r="D501" s="195"/>
      <c r="E501" s="195"/>
      <c r="F501" s="195"/>
      <c r="G501" s="195"/>
      <c r="H501" s="240"/>
      <c r="I501" s="195"/>
      <c r="J501" s="196"/>
      <c r="K501" s="196"/>
      <c r="L501" s="195"/>
      <c r="M501" s="195"/>
      <c r="N501" s="195"/>
      <c r="O501" s="195"/>
      <c r="P501" s="195"/>
      <c r="Q501" s="195"/>
      <c r="R501" s="195"/>
      <c r="S501" s="195"/>
      <c r="T501" s="781" t="s">
        <v>2188</v>
      </c>
      <c r="U501" s="782"/>
      <c r="V501" s="152"/>
      <c r="W501" s="153"/>
      <c r="X501" s="154"/>
      <c r="Z501" s="156"/>
      <c r="AA501" s="156"/>
    </row>
    <row r="502" spans="1:27" s="155" customFormat="1" ht="15" customHeight="1" thickBot="1">
      <c r="A502" s="248"/>
      <c r="B502" s="250"/>
      <c r="C502" s="236"/>
      <c r="D502" s="195"/>
      <c r="E502" s="195"/>
      <c r="F502" s="195"/>
      <c r="G502" s="195"/>
      <c r="H502" s="240"/>
      <c r="I502" s="195"/>
      <c r="J502" s="196"/>
      <c r="K502" s="196"/>
      <c r="L502" s="195"/>
      <c r="M502" s="195"/>
      <c r="N502" s="195"/>
      <c r="O502" s="241" t="s">
        <v>53</v>
      </c>
      <c r="P502" s="195" t="s">
        <v>54</v>
      </c>
      <c r="Q502" s="195"/>
      <c r="R502" s="195"/>
      <c r="S502" s="195"/>
      <c r="T502" s="297" t="s">
        <v>989</v>
      </c>
      <c r="U502" s="195" t="s">
        <v>988</v>
      </c>
      <c r="V502" s="152"/>
      <c r="W502" s="153"/>
      <c r="X502" s="154"/>
      <c r="Z502" s="156"/>
      <c r="AA502" s="156"/>
    </row>
    <row r="503" spans="1:27" s="155" customFormat="1" ht="15" customHeight="1" thickBot="1">
      <c r="A503" s="248"/>
      <c r="B503" s="251" t="str">
        <f>IF(AND(B497&lt;&gt;B495,B497&lt;&gt;0),"FIADAS "&amp;B495&amp;" a "&amp;B497,"FIADA "&amp;B495)</f>
        <v xml:space="preserve">FIADA </v>
      </c>
      <c r="C503" s="268"/>
      <c r="D503" s="201"/>
      <c r="E503" s="201"/>
      <c r="F503" s="201"/>
      <c r="G503" s="201"/>
      <c r="H503" s="201"/>
      <c r="I503" s="201"/>
      <c r="J503" s="234"/>
      <c r="K503" s="234"/>
      <c r="L503" s="162"/>
      <c r="M503" s="201"/>
      <c r="N503" s="164"/>
      <c r="O503" s="259">
        <v>360</v>
      </c>
      <c r="P503" s="258" t="e">
        <f>ROUND(R500/360*O503,2)</f>
        <v>#DIV/0!</v>
      </c>
      <c r="Q503" s="252"/>
      <c r="R503" s="163"/>
      <c r="S503" s="163"/>
      <c r="T503" s="327" t="e">
        <f>((E497+N493)*H500)-P493*PI()</f>
        <v>#DIV/0!</v>
      </c>
      <c r="U503" s="327" t="e">
        <f>(((F497+N493)*H500)-Q493*PI())/H500</f>
        <v>#DIV/0!</v>
      </c>
      <c r="V503" s="164"/>
      <c r="W503" s="165"/>
      <c r="X503" s="166"/>
      <c r="Z503" s="156"/>
      <c r="AA503" s="156"/>
    </row>
    <row r="504" spans="1:27" s="186" customFormat="1" ht="15" customHeight="1">
      <c r="A504" s="215"/>
      <c r="B504" s="210"/>
      <c r="C504" s="298"/>
      <c r="D504" s="195"/>
      <c r="E504" s="135"/>
      <c r="F504" s="135"/>
      <c r="G504" s="135"/>
      <c r="H504" s="135"/>
      <c r="I504" s="232"/>
      <c r="J504" s="232"/>
      <c r="K504" s="232"/>
      <c r="L504" s="195"/>
      <c r="M504" s="195"/>
      <c r="N504" s="195"/>
      <c r="O504" s="144"/>
      <c r="P504" s="195"/>
      <c r="Q504" s="195"/>
      <c r="R504" s="195"/>
      <c r="S504" s="195"/>
      <c r="T504" s="195"/>
      <c r="U504" s="195"/>
      <c r="V504" s="197"/>
      <c r="W504" s="185"/>
      <c r="X504" s="141"/>
      <c r="Z504" s="187"/>
      <c r="AA504" s="187"/>
    </row>
    <row r="505" spans="1:27" s="186" customFormat="1" ht="15" customHeight="1">
      <c r="A505" s="215"/>
      <c r="B505" s="210"/>
      <c r="C505" s="298"/>
      <c r="D505" s="195"/>
      <c r="E505" s="135"/>
      <c r="F505" s="135"/>
      <c r="G505" s="135"/>
      <c r="H505" s="135"/>
      <c r="I505" s="232"/>
      <c r="J505" s="232"/>
      <c r="K505" s="232"/>
      <c r="L505" s="195"/>
      <c r="M505" s="195"/>
      <c r="N505" s="195"/>
      <c r="O505" s="144"/>
      <c r="P505" s="195"/>
      <c r="Q505" s="195"/>
      <c r="R505" s="195"/>
      <c r="S505" s="195"/>
      <c r="T505" s="195"/>
      <c r="U505" s="195"/>
      <c r="V505" s="197"/>
      <c r="W505" s="185"/>
      <c r="X505" s="141"/>
      <c r="Z505" s="187"/>
      <c r="AA505" s="187"/>
    </row>
    <row r="506" spans="1:27" s="186" customFormat="1" ht="15" customHeight="1" thickBot="1">
      <c r="A506" s="215"/>
      <c r="B506" s="279" t="s">
        <v>1010</v>
      </c>
      <c r="C506" s="280"/>
      <c r="D506" s="281"/>
      <c r="E506" s="281"/>
      <c r="F506" s="281"/>
      <c r="G506" s="281"/>
      <c r="H506" s="281"/>
      <c r="I506" s="281"/>
      <c r="J506" s="282"/>
      <c r="K506" s="282"/>
      <c r="L506" s="283"/>
      <c r="M506" s="281"/>
      <c r="N506" s="281"/>
      <c r="O506" s="281"/>
      <c r="P506" s="281"/>
      <c r="Q506" s="281"/>
      <c r="R506" s="281"/>
      <c r="S506" s="284"/>
      <c r="T506" s="281"/>
      <c r="U506" s="281" t="s">
        <v>678</v>
      </c>
      <c r="V506" s="285" t="s">
        <v>27</v>
      </c>
      <c r="W506" s="286"/>
      <c r="X506" s="287"/>
      <c r="Z506" s="187"/>
      <c r="AA506" s="187"/>
    </row>
    <row r="507" spans="1:27" s="186" customFormat="1" ht="15" customHeight="1" thickBot="1">
      <c r="A507" s="215"/>
      <c r="B507" s="210"/>
      <c r="C507" s="133">
        <f>SUMIF(Densidades!A:A,'Memória TOTAL'!X507,Densidades!B:B)</f>
        <v>0</v>
      </c>
      <c r="D507" s="134">
        <f>SUMIF(Densidades!A:A,'Memória TOTAL'!X507,Densidades!C:C)</f>
        <v>0</v>
      </c>
      <c r="E507" s="134" t="str">
        <f>IF(I507=15,"FIRECLAY MORTAR",IF(I507=16,"ALUMINA MORTAR",IF(I507=17,"BASIC MORTAR",IF(I507=18,"MORTAR","-"))))</f>
        <v>-</v>
      </c>
      <c r="F507" s="134" t="str">
        <f>IF(I507=15,"FIRECLAY MORTAR",IF(I507=16,"ALUMINA MORTAR",IF(I507=17,"BASIC MORTAR",IF(I507=18,"MORTAR","-"))))</f>
        <v>-</v>
      </c>
      <c r="G507" s="134" t="str">
        <f>IF(I507=15,"FIRECLAY MORTAR",IF(I507=16,"ALUMINA MORTAR",IF(I507=17,"BASIC MORTAR",IF(I507=18,"MORTAR","-"))))</f>
        <v>-</v>
      </c>
      <c r="H507" s="134" t="str">
        <f>IF(I507=15,"FIRECLAY MORTAR",IF(I507=16,"ALUMINA MORTAR",IF(I507=17,"BASIC MORTAR",IF(I507=18,"MORTAR","-"))))</f>
        <v>-</v>
      </c>
      <c r="I507" s="134">
        <f>SUMIF(Densidades!A:A,'Memória TOTAL'!X507,Densidades!G:G)</f>
        <v>0</v>
      </c>
      <c r="J507" s="136">
        <f>SUMIF(Formatos!A:A,'Memória TOTAL'!X508,Formatos!G:G)</f>
        <v>0</v>
      </c>
      <c r="K507" s="137">
        <f>SUMIF(Densidades!A:A,'Memória TOTAL'!X507,Densidades!I:I)</f>
        <v>0</v>
      </c>
      <c r="L507" s="188">
        <v>0</v>
      </c>
      <c r="M507" s="189"/>
      <c r="N507" s="189"/>
      <c r="O507" s="189"/>
      <c r="P507" s="189"/>
      <c r="Q507" s="189"/>
      <c r="R507" s="189"/>
      <c r="S507" s="189"/>
      <c r="T507" s="190"/>
      <c r="U507" s="290">
        <v>0.06</v>
      </c>
      <c r="V507" s="192" t="e">
        <f>(W493*J493*C507+W497*J497*C507)*U507</f>
        <v>#VALUE!</v>
      </c>
      <c r="W507" s="193" t="str">
        <f>IF(C507=0,"",ROUNDUP(SUM(V507:V508)*(1+L507)/D507,2)*D507)</f>
        <v/>
      </c>
      <c r="X507" s="263"/>
      <c r="Z507" s="187"/>
      <c r="AA507" s="187"/>
    </row>
    <row r="508" spans="1:27" s="186" customFormat="1" ht="15" customHeight="1">
      <c r="A508" s="215"/>
      <c r="B508" s="210"/>
      <c r="C508" s="133"/>
      <c r="D508" s="195"/>
      <c r="E508" s="195"/>
      <c r="F508" s="195"/>
      <c r="G508" s="195"/>
      <c r="H508" s="195"/>
      <c r="I508" s="195"/>
      <c r="J508" s="196"/>
      <c r="K508" s="196"/>
      <c r="L508" s="144"/>
      <c r="M508" s="195"/>
      <c r="N508" s="195"/>
      <c r="O508" s="195"/>
      <c r="P508" s="195"/>
      <c r="Q508" s="195"/>
      <c r="R508" s="195"/>
      <c r="S508" s="195"/>
      <c r="T508" s="195"/>
      <c r="U508" s="195"/>
      <c r="V508" s="197"/>
      <c r="W508" s="185"/>
      <c r="X508" s="141" t="str">
        <f>IF(AND(H507="-",G507="-",F507="-"),E507,IF(AND(H507="-",G507="-",E507="-"),F507,IF(AND(H507="-",F507="-",E507="-"),G507,H507)))</f>
        <v>-</v>
      </c>
      <c r="Z508" s="187"/>
      <c r="AA508" s="187"/>
    </row>
    <row r="509" spans="1:27" s="186" customFormat="1" ht="15" customHeight="1">
      <c r="A509" s="215"/>
      <c r="B509" s="213"/>
      <c r="C509" s="133"/>
      <c r="D509" s="195"/>
      <c r="E509" s="195"/>
      <c r="F509" s="195"/>
      <c r="G509" s="195"/>
      <c r="H509" s="195"/>
      <c r="I509" s="195"/>
      <c r="J509" s="196"/>
      <c r="K509" s="196"/>
      <c r="L509" s="144"/>
      <c r="M509" s="195"/>
      <c r="N509" s="195"/>
      <c r="O509" s="195"/>
      <c r="P509" s="195"/>
      <c r="Q509" s="195"/>
      <c r="R509" s="195"/>
      <c r="S509" s="195"/>
      <c r="T509" s="195"/>
      <c r="U509" s="195"/>
      <c r="V509" s="197"/>
      <c r="W509" s="185"/>
      <c r="X509" s="141" t="s">
        <v>2</v>
      </c>
      <c r="Z509" s="187"/>
      <c r="AA509" s="187"/>
    </row>
    <row r="510" spans="1:27" ht="15" customHeight="1">
      <c r="A510" s="215"/>
      <c r="B510" s="131"/>
      <c r="C510" s="169"/>
      <c r="D510" s="170"/>
      <c r="E510" s="170"/>
      <c r="F510" s="170"/>
      <c r="G510" s="170"/>
      <c r="H510" s="170"/>
      <c r="I510" s="170"/>
      <c r="J510" s="171"/>
      <c r="K510" s="171"/>
      <c r="L510" s="172"/>
      <c r="M510" s="170"/>
      <c r="N510" s="170"/>
      <c r="O510" s="170"/>
      <c r="P510" s="170"/>
      <c r="Q510" s="170"/>
      <c r="R510" s="170"/>
      <c r="S510" s="170"/>
      <c r="T510" s="170"/>
      <c r="U510" s="170"/>
      <c r="V510" s="173"/>
      <c r="W510" s="174"/>
      <c r="X510" s="175"/>
    </row>
    <row r="511" spans="1:27" s="186" customFormat="1" ht="15" customHeight="1" thickBot="1">
      <c r="A511" s="215"/>
      <c r="B511" s="279" t="s">
        <v>1011</v>
      </c>
      <c r="C511" s="280"/>
      <c r="D511" s="281"/>
      <c r="E511" s="281"/>
      <c r="F511" s="281"/>
      <c r="G511" s="281"/>
      <c r="H511" s="281"/>
      <c r="I511" s="281"/>
      <c r="J511" s="282"/>
      <c r="K511" s="282"/>
      <c r="L511" s="283"/>
      <c r="M511" s="281"/>
      <c r="N511" s="281"/>
      <c r="O511" s="281"/>
      <c r="P511" s="281"/>
      <c r="Q511" s="281"/>
      <c r="R511" s="281" t="s">
        <v>636</v>
      </c>
      <c r="S511" s="284" t="s">
        <v>637</v>
      </c>
      <c r="T511" s="281" t="s">
        <v>638</v>
      </c>
      <c r="U511" s="281" t="s">
        <v>38</v>
      </c>
      <c r="V511" s="285" t="s">
        <v>27</v>
      </c>
      <c r="W511" s="286"/>
      <c r="X511" s="287"/>
      <c r="Z511" s="187"/>
      <c r="AA511" s="187"/>
    </row>
    <row r="512" spans="1:27" s="186" customFormat="1" ht="15" customHeight="1" thickBot="1">
      <c r="A512" s="215"/>
      <c r="B512" s="210"/>
      <c r="C512" s="133">
        <f>SUMIF(Densidades!A:A,'Memória TOTAL'!X512,Densidades!B:B)</f>
        <v>0</v>
      </c>
      <c r="D512" s="134">
        <f>SUMIF(Densidades!A:A,'Memória TOTAL'!X512,Densidades!C:C)</f>
        <v>0</v>
      </c>
      <c r="E512" s="134" t="str">
        <f>IF(I512=15,"FIRECLAY MORTAR",IF(I512=16,"ALUMINA MORTAR",IF(I512=17,"BASIC MORTAR",IF(I512=18,"MORTAR","-"))))</f>
        <v>-</v>
      </c>
      <c r="F512" s="134" t="str">
        <f>IF(I512=15,"FIRECLAY MORTAR",IF(I512=16,"ALUMINA MORTAR",IF(I512=17,"BASIC MORTAR",IF(I512=18,"MORTAR","-"))))</f>
        <v>-</v>
      </c>
      <c r="G512" s="134" t="str">
        <f>IF(I512=15,"FIRECLAY MORTAR",IF(I512=16,"ALUMINA MORTAR",IF(I512=17,"BASIC MORTAR",IF(I512=18,"MORTAR","-"))))</f>
        <v>-</v>
      </c>
      <c r="H512" s="134" t="str">
        <f>IF(I512=15,"FIRECLAY MORTAR",IF(I512=16,"ALUMINA MORTAR",IF(I512=17,"BASIC MORTAR",IF(I512=18,"MORTAR","-"))))</f>
        <v>-</v>
      </c>
      <c r="I512" s="134">
        <f>SUMIF(Densidades!A:A,'Memória TOTAL'!X512,Densidades!G:G)</f>
        <v>0</v>
      </c>
      <c r="J512" s="136">
        <f>SUMIF(Formatos!A:A,'Memória TOTAL'!X513,Formatos!G:G)</f>
        <v>0</v>
      </c>
      <c r="K512" s="222">
        <f>SUMIF(Densidades!A:A,'Memória TOTAL'!X512,Densidades!I:I)</f>
        <v>0</v>
      </c>
      <c r="L512" s="188">
        <v>0</v>
      </c>
      <c r="M512" s="189"/>
      <c r="N512" s="189"/>
      <c r="O512" s="189"/>
      <c r="P512" s="189"/>
      <c r="Q512" s="189"/>
      <c r="R512" s="190">
        <f>((G493*H493)+(G493*E493)+(H493*E493))/1000000</f>
        <v>0</v>
      </c>
      <c r="S512" s="259">
        <v>2</v>
      </c>
      <c r="T512" s="190">
        <f>R512*S512</f>
        <v>0</v>
      </c>
      <c r="U512" s="191">
        <f>SUM(W493:W498)</f>
        <v>0</v>
      </c>
      <c r="V512" s="192">
        <f>(T512*C512*(1+L512))*U512</f>
        <v>0</v>
      </c>
      <c r="W512" s="140" t="str">
        <f>IF(C512=0,"",ROUNDUP(SUM(V512:V513)*(1+L512)/D512,2)*D512)</f>
        <v/>
      </c>
      <c r="X512" s="263"/>
      <c r="Z512" s="187"/>
      <c r="AA512" s="187"/>
    </row>
    <row r="513" spans="1:27" s="186" customFormat="1" ht="15" customHeight="1">
      <c r="A513" s="215"/>
      <c r="B513" s="210"/>
      <c r="C513" s="133"/>
      <c r="D513" s="195"/>
      <c r="E513" s="195"/>
      <c r="F513" s="195"/>
      <c r="G513" s="195"/>
      <c r="H513" s="195"/>
      <c r="I513" s="195"/>
      <c r="J513" s="196"/>
      <c r="K513" s="196"/>
      <c r="L513" s="144"/>
      <c r="M513" s="195"/>
      <c r="N513" s="195"/>
      <c r="O513" s="195"/>
      <c r="P513" s="195"/>
      <c r="Q513" s="195"/>
      <c r="R513" s="195"/>
      <c r="S513" s="195"/>
      <c r="T513" s="195"/>
      <c r="U513" s="195"/>
      <c r="V513" s="197"/>
      <c r="W513" s="185"/>
      <c r="X513" s="141" t="str">
        <f>IF(AND(H512="-",G512="-",F512="-"),E512,IF(AND(H512="-",G512="-",E512="-"),F512,IF(AND(H512="-",F512="-",E512="-"),G512,H512)))</f>
        <v>-</v>
      </c>
      <c r="Z513" s="187"/>
      <c r="AA513" s="187"/>
    </row>
    <row r="514" spans="1:27" s="186" customFormat="1" ht="15" customHeight="1">
      <c r="A514" s="215"/>
      <c r="B514" s="213"/>
      <c r="C514" s="133"/>
      <c r="D514" s="195"/>
      <c r="E514" s="195"/>
      <c r="F514" s="195"/>
      <c r="G514" s="195"/>
      <c r="H514" s="195"/>
      <c r="I514" s="195"/>
      <c r="J514" s="196"/>
      <c r="K514" s="196"/>
      <c r="L514" s="144"/>
      <c r="M514" s="195"/>
      <c r="N514" s="195"/>
      <c r="O514" s="195"/>
      <c r="P514" s="195"/>
      <c r="Q514" s="195"/>
      <c r="R514" s="195"/>
      <c r="S514" s="195"/>
      <c r="T514" s="195"/>
      <c r="U514" s="195"/>
      <c r="V514" s="197"/>
      <c r="W514" s="185"/>
      <c r="X514" s="141" t="s">
        <v>2</v>
      </c>
      <c r="Z514" s="187"/>
      <c r="AA514" s="187"/>
    </row>
    <row r="515" spans="1:27" s="186" customFormat="1" ht="15" customHeight="1">
      <c r="A515" s="215"/>
      <c r="B515" s="213"/>
      <c r="C515" s="133"/>
      <c r="D515" s="195"/>
      <c r="E515" s="195"/>
      <c r="F515" s="195"/>
      <c r="G515" s="195"/>
      <c r="H515" s="195"/>
      <c r="I515" s="195"/>
      <c r="J515" s="196"/>
      <c r="K515" s="196"/>
      <c r="L515" s="144"/>
      <c r="M515" s="195"/>
      <c r="N515" s="195"/>
      <c r="O515" s="195"/>
      <c r="P515" s="195"/>
      <c r="Q515" s="195"/>
      <c r="R515" s="195"/>
      <c r="S515" s="195"/>
      <c r="T515" s="195"/>
      <c r="U515" s="195"/>
      <c r="V515" s="197"/>
      <c r="W515" s="185"/>
      <c r="X515" s="141"/>
      <c r="Z515" s="187"/>
      <c r="AA515" s="187"/>
    </row>
    <row r="516" spans="1:27" s="186" customFormat="1" ht="15" customHeight="1" thickBot="1">
      <c r="A516" s="215"/>
      <c r="B516" s="509"/>
      <c r="C516" s="509"/>
      <c r="D516" s="512"/>
      <c r="E516" s="512"/>
      <c r="F516" s="512"/>
      <c r="G516" s="512"/>
      <c r="H516" s="512"/>
      <c r="I516" s="512"/>
      <c r="J516" s="512"/>
      <c r="K516" s="512"/>
      <c r="L516" s="512"/>
      <c r="M516" s="512"/>
      <c r="N516" s="512"/>
      <c r="O516" s="512"/>
      <c r="P516" s="512"/>
      <c r="Q516" s="512"/>
      <c r="R516" s="512"/>
      <c r="S516" s="512"/>
      <c r="T516" s="512"/>
      <c r="U516" s="512"/>
      <c r="V516" s="512"/>
      <c r="W516" s="512"/>
      <c r="X516" s="513"/>
      <c r="Z516" s="187"/>
      <c r="AA516" s="187"/>
    </row>
    <row r="517" spans="1:27" ht="15" customHeight="1" thickBot="1">
      <c r="A517" s="278"/>
      <c r="B517" s="493" t="str">
        <f>IF(X518="","COMPOSIÇÃO CONE 1 TIJOLO",X518)</f>
        <v>COMPOSIÇÃO CONE 1 TIJOLO</v>
      </c>
      <c r="C517" s="300" t="s">
        <v>101</v>
      </c>
      <c r="D517" s="274" t="s">
        <v>102</v>
      </c>
      <c r="E517" s="274" t="s">
        <v>42</v>
      </c>
      <c r="F517" s="274" t="s">
        <v>42</v>
      </c>
      <c r="G517" s="274" t="s">
        <v>43</v>
      </c>
      <c r="H517" s="274" t="s">
        <v>44</v>
      </c>
      <c r="I517" s="274" t="s">
        <v>47</v>
      </c>
      <c r="J517" s="274" t="s">
        <v>103</v>
      </c>
      <c r="K517" s="274" t="s">
        <v>37</v>
      </c>
      <c r="L517" s="274" t="s">
        <v>39</v>
      </c>
      <c r="M517" s="274" t="s">
        <v>45</v>
      </c>
      <c r="N517" s="274" t="s">
        <v>46</v>
      </c>
      <c r="O517" s="296" t="s">
        <v>106</v>
      </c>
      <c r="P517" s="274" t="s">
        <v>52</v>
      </c>
      <c r="Q517" s="296" t="s">
        <v>53</v>
      </c>
      <c r="R517" s="274"/>
      <c r="S517" s="274"/>
      <c r="T517" s="274"/>
      <c r="U517" s="274" t="s">
        <v>677</v>
      </c>
      <c r="V517" s="275" t="s">
        <v>27</v>
      </c>
      <c r="W517" s="276"/>
      <c r="X517" s="277"/>
    </row>
    <row r="518" spans="1:27" ht="15" customHeight="1" thickBot="1">
      <c r="A518" s="215"/>
      <c r="B518" s="777" t="s">
        <v>1882</v>
      </c>
      <c r="C518" s="245">
        <f>SUMIF(Densidades!A:A,'Memória TOTAL'!X518,Densidades!B:B)</f>
        <v>0</v>
      </c>
      <c r="D518" s="134">
        <f>SUMIF(Densidades!A:A,'Memória TOTAL'!X518,Densidades!C:C)</f>
        <v>0</v>
      </c>
      <c r="E518" s="970">
        <f>SUMIF(Formatos!A:A,'Memória TOTAL'!X519,Formatos!E:E)</f>
        <v>0</v>
      </c>
      <c r="F518" s="970">
        <f>SUMIF(Formatos!A:A,'Memória TOTAL'!X519,Formatos!F:F)</f>
        <v>0</v>
      </c>
      <c r="G518" s="970">
        <f>SUMIF(Formatos!A:A,'Memória TOTAL'!X519,Formatos!C:C)</f>
        <v>0</v>
      </c>
      <c r="H518" s="970">
        <f>SUMIF(Formatos!A:A,'Memória TOTAL'!X519,Formatos!D:D)</f>
        <v>0</v>
      </c>
      <c r="I518" s="135">
        <f>SUMIF(Densidades!A:A,'Memória TOTAL'!X518,Densidades!H:H)</f>
        <v>0</v>
      </c>
      <c r="J518" s="136">
        <f>SUMIF(Formatos!A:A,'Memória TOTAL'!X519,Formatos!G:G)</f>
        <v>0</v>
      </c>
      <c r="K518" s="137">
        <f>SUMIF(Densidades!A:A,'Memória TOTAL'!X518,Densidades!I:I)</f>
        <v>0</v>
      </c>
      <c r="L518" s="253">
        <v>0</v>
      </c>
      <c r="M518" s="608"/>
      <c r="N518" s="256"/>
      <c r="O518" s="257"/>
      <c r="P518" s="255">
        <f>O518-M518*2</f>
        <v>0</v>
      </c>
      <c r="Q518" s="257"/>
      <c r="R518" s="139"/>
      <c r="S518" s="260"/>
      <c r="T518" s="260"/>
      <c r="U518" s="257"/>
      <c r="V518" s="256" t="str">
        <f>IF(M518="","",IF(M518=H522,ROUND(P528,0),"ESP. ERRADA"))</f>
        <v/>
      </c>
      <c r="W518" s="262" t="e">
        <f>IF(C518=0,"",ROUNDUP(SUM(V518)*(1+L518),0))*U518</f>
        <v>#VALUE!</v>
      </c>
      <c r="X518" s="263"/>
    </row>
    <row r="519" spans="1:27" s="186" customFormat="1" ht="15" customHeight="1" thickBot="1">
      <c r="A519" s="215"/>
      <c r="B519" s="778"/>
      <c r="C519" s="236"/>
      <c r="D519" s="195"/>
      <c r="E519" s="195"/>
      <c r="F519" s="195"/>
      <c r="G519" s="195"/>
      <c r="H519" s="195"/>
      <c r="I519" s="195"/>
      <c r="J519" s="196"/>
      <c r="K519" s="196"/>
      <c r="L519" s="144"/>
      <c r="M519" s="195"/>
      <c r="N519" s="195"/>
      <c r="O519" s="195"/>
      <c r="P519" s="195"/>
      <c r="Q519" s="195"/>
      <c r="R519" s="195"/>
      <c r="S519" s="195"/>
      <c r="T519" s="195"/>
      <c r="U519" s="195"/>
      <c r="V519" s="197"/>
      <c r="W519" s="185"/>
      <c r="X519" s="141" t="str">
        <f>IF(B524="","",B524)</f>
        <v/>
      </c>
      <c r="Z519" s="187"/>
      <c r="AA519" s="187"/>
    </row>
    <row r="520" spans="1:27" s="186" customFormat="1" ht="15" customHeight="1">
      <c r="A520" s="215"/>
      <c r="B520" s="301"/>
      <c r="C520" s="236"/>
      <c r="D520" s="195"/>
      <c r="E520" s="195"/>
      <c r="F520" s="195"/>
      <c r="G520" s="195"/>
      <c r="H520" s="195"/>
      <c r="I520" s="195"/>
      <c r="J520" s="196"/>
      <c r="K520" s="196"/>
      <c r="L520" s="144"/>
      <c r="M520" s="195"/>
      <c r="N520" s="195"/>
      <c r="O520" s="195"/>
      <c r="P520" s="195"/>
      <c r="Q520" s="195"/>
      <c r="R520" s="195"/>
      <c r="S520" s="195"/>
      <c r="T520" s="195"/>
      <c r="U520" s="195"/>
      <c r="V520" s="197"/>
      <c r="W520" s="185"/>
      <c r="X520" s="141" t="s">
        <v>524</v>
      </c>
      <c r="Z520" s="187"/>
      <c r="AA520" s="187"/>
    </row>
    <row r="521" spans="1:27" s="186" customFormat="1" ht="15" customHeight="1">
      <c r="A521" s="215"/>
      <c r="B521" s="301"/>
      <c r="C521" s="299" t="str">
        <f t="shared" ref="C521:L521" si="83">C517</f>
        <v>Dens.</v>
      </c>
      <c r="D521" s="182" t="str">
        <f t="shared" si="83"/>
        <v>Emb.</v>
      </c>
      <c r="E521" s="182" t="str">
        <f t="shared" si="83"/>
        <v>Esp. Tij.</v>
      </c>
      <c r="F521" s="182" t="str">
        <f t="shared" si="83"/>
        <v>Esp. Tij.</v>
      </c>
      <c r="G521" s="182" t="str">
        <f t="shared" si="83"/>
        <v>Comp. Tij.</v>
      </c>
      <c r="H521" s="182" t="str">
        <f t="shared" si="83"/>
        <v>Larg. Tij.</v>
      </c>
      <c r="I521" s="182" t="str">
        <f t="shared" si="83"/>
        <v>Tipo Fator</v>
      </c>
      <c r="J521" s="182" t="str">
        <f t="shared" si="83"/>
        <v>Vol.</v>
      </c>
      <c r="K521" s="182" t="str">
        <f t="shared" si="83"/>
        <v>Class.</v>
      </c>
      <c r="L521" s="182" t="str">
        <f t="shared" si="83"/>
        <v>Coefic. (%)</v>
      </c>
      <c r="M521" s="195"/>
      <c r="N521" s="195"/>
      <c r="O521" s="195"/>
      <c r="P521" s="195"/>
      <c r="Q521" s="195"/>
      <c r="R521" s="195"/>
      <c r="S521" s="195"/>
      <c r="T521" s="195"/>
      <c r="U521" s="195"/>
      <c r="V521" s="152"/>
      <c r="W521" s="185"/>
      <c r="X521" s="141"/>
      <c r="Z521" s="187"/>
      <c r="AA521" s="187"/>
    </row>
    <row r="522" spans="1:27" s="186" customFormat="1" ht="15" customHeight="1" thickBot="1">
      <c r="A522" s="215"/>
      <c r="B522" s="302"/>
      <c r="C522" s="245">
        <f>SUMIF(Densidades!A:A,'Memória TOTAL'!X522,Densidades!B:B)</f>
        <v>0</v>
      </c>
      <c r="D522" s="134">
        <f>SUMIF(Densidades!A:A,'Memória TOTAL'!X522,Densidades!C:C)</f>
        <v>0</v>
      </c>
      <c r="E522" s="135">
        <f>IF(M518=E518,H518,E518)</f>
        <v>0</v>
      </c>
      <c r="F522" s="135">
        <f>IF(M518=E518,H518,F518)</f>
        <v>0</v>
      </c>
      <c r="G522" s="135">
        <f>IF(M518=G518,H518,G518)</f>
        <v>0</v>
      </c>
      <c r="H522" s="135">
        <f>IF(M518=E518,E518,IF(M518=G518,G518,H518))</f>
        <v>0</v>
      </c>
      <c r="I522" s="135">
        <f>SUMIF(Densidades!A:A,'Memória TOTAL'!X522,Densidades!H:H)</f>
        <v>0</v>
      </c>
      <c r="J522" s="136">
        <f>SUMIF(Formatos!A:A,'Memória TOTAL'!X523,Formatos!G:G)</f>
        <v>0</v>
      </c>
      <c r="K522" s="222">
        <f>SUMIF(Densidades!A:A,'Memória TOTAL'!X522,Densidades!I:I)</f>
        <v>0</v>
      </c>
      <c r="L522" s="223">
        <v>0</v>
      </c>
      <c r="M522" s="195"/>
      <c r="N522" s="195"/>
      <c r="O522" s="195"/>
      <c r="P522" s="195"/>
      <c r="Q522" s="195"/>
      <c r="R522" s="195"/>
      <c r="S522" s="195"/>
      <c r="T522" s="232"/>
      <c r="U522" s="235"/>
      <c r="V522" s="152"/>
      <c r="W522" s="185"/>
      <c r="X522" s="141"/>
      <c r="Z522" s="187"/>
      <c r="AA522" s="187"/>
    </row>
    <row r="523" spans="1:27" s="186" customFormat="1" ht="15" customHeight="1" thickBot="1">
      <c r="A523" s="264"/>
      <c r="B523" s="247" t="s">
        <v>675</v>
      </c>
      <c r="C523" s="236"/>
      <c r="D523" s="195"/>
      <c r="E523" s="195"/>
      <c r="F523" s="195"/>
      <c r="G523" s="195"/>
      <c r="H523" s="195"/>
      <c r="I523" s="195"/>
      <c r="J523" s="196"/>
      <c r="K523" s="196"/>
      <c r="L523" s="144"/>
      <c r="M523" s="195"/>
      <c r="N523" s="195"/>
      <c r="O523" s="195"/>
      <c r="P523" s="195"/>
      <c r="Q523" s="195"/>
      <c r="R523" s="195"/>
      <c r="S523" s="195"/>
      <c r="T523" s="195"/>
      <c r="U523" s="195"/>
      <c r="V523" s="152"/>
      <c r="W523" s="185"/>
      <c r="X523" s="141"/>
      <c r="Z523" s="187"/>
      <c r="AA523" s="187"/>
    </row>
    <row r="524" spans="1:27" s="186" customFormat="1" ht="15" customHeight="1" thickBot="1">
      <c r="A524" s="264"/>
      <c r="B524" s="263"/>
      <c r="C524" s="243" t="s">
        <v>54</v>
      </c>
      <c r="D524" s="239"/>
      <c r="E524" s="195"/>
      <c r="F524" s="195"/>
      <c r="G524" s="195"/>
      <c r="H524" s="240"/>
      <c r="I524" s="240"/>
      <c r="J524" s="196"/>
      <c r="K524" s="196"/>
      <c r="L524" s="144"/>
      <c r="M524" s="195"/>
      <c r="N524" s="195"/>
      <c r="O524" s="149"/>
      <c r="P524" s="149"/>
      <c r="Q524" s="150"/>
      <c r="R524" s="149"/>
      <c r="S524" s="149"/>
      <c r="T524" s="195"/>
      <c r="U524" s="195"/>
      <c r="V524" s="152"/>
      <c r="W524" s="185"/>
      <c r="X524" s="141"/>
      <c r="Z524" s="187"/>
      <c r="AA524" s="187"/>
    </row>
    <row r="525" spans="1:27" s="186" customFormat="1" ht="15" customHeight="1" thickBot="1">
      <c r="A525" s="264"/>
      <c r="B525" s="302"/>
      <c r="C525" s="243"/>
      <c r="D525" s="239"/>
      <c r="E525" s="195"/>
      <c r="F525" s="195"/>
      <c r="G525" s="195"/>
      <c r="H525" s="240"/>
      <c r="I525" s="240"/>
      <c r="J525" s="196"/>
      <c r="K525" s="196"/>
      <c r="L525" s="144"/>
      <c r="M525" s="195"/>
      <c r="N525" s="195"/>
      <c r="O525" s="151"/>
      <c r="P525" s="151"/>
      <c r="Q525" s="157"/>
      <c r="R525" s="151"/>
      <c r="S525" s="151"/>
      <c r="T525" s="195"/>
      <c r="U525" s="195"/>
      <c r="V525" s="152"/>
      <c r="W525" s="231"/>
      <c r="X525" s="141"/>
      <c r="Z525" s="187"/>
      <c r="AA525" s="187"/>
    </row>
    <row r="526" spans="1:27" s="155" customFormat="1" ht="15" customHeight="1" thickBot="1">
      <c r="A526" s="248"/>
      <c r="B526" s="247" t="s">
        <v>676</v>
      </c>
      <c r="C526" s="236"/>
      <c r="D526" s="195"/>
      <c r="E526" s="195"/>
      <c r="F526" s="195"/>
      <c r="G526" s="195"/>
      <c r="H526" s="195"/>
      <c r="I526" s="195"/>
      <c r="J526" s="196"/>
      <c r="K526" s="196"/>
      <c r="L526" s="195"/>
      <c r="M526" s="195"/>
      <c r="N526" s="195"/>
      <c r="O526" s="195"/>
      <c r="P526" s="195"/>
      <c r="Q526" s="195"/>
      <c r="R526" s="195"/>
      <c r="S526" s="195"/>
      <c r="T526" s="151"/>
      <c r="U526" s="151"/>
      <c r="V526" s="152"/>
      <c r="W526" s="153"/>
      <c r="X526" s="154"/>
      <c r="Z526" s="156"/>
      <c r="AA526" s="156"/>
    </row>
    <row r="527" spans="1:27" s="155" customFormat="1" ht="15" customHeight="1" thickBot="1">
      <c r="A527" s="248"/>
      <c r="B527" s="779"/>
      <c r="C527" s="236"/>
      <c r="D527" s="195"/>
      <c r="E527" s="195"/>
      <c r="F527" s="195"/>
      <c r="G527" s="195"/>
      <c r="H527" s="195"/>
      <c r="I527" s="195"/>
      <c r="J527" s="196"/>
      <c r="K527" s="196"/>
      <c r="L527" s="195"/>
      <c r="M527" s="195"/>
      <c r="N527" s="195"/>
      <c r="O527" s="195"/>
      <c r="P527" s="195"/>
      <c r="Q527" s="195"/>
      <c r="R527" s="195"/>
      <c r="S527" s="781" t="s">
        <v>2188</v>
      </c>
      <c r="T527" s="782"/>
      <c r="U527" s="151"/>
      <c r="V527" s="152"/>
      <c r="W527" s="153"/>
      <c r="X527" s="154"/>
      <c r="Z527" s="156"/>
      <c r="AA527" s="156"/>
    </row>
    <row r="528" spans="1:27" s="186" customFormat="1" ht="15" customHeight="1" thickBot="1">
      <c r="A528" s="215"/>
      <c r="B528" s="780"/>
      <c r="C528" s="297" t="s">
        <v>989</v>
      </c>
      <c r="D528" s="196" t="s">
        <v>2191</v>
      </c>
      <c r="E528" s="195" t="s">
        <v>22</v>
      </c>
      <c r="F528" s="195" t="s">
        <v>48</v>
      </c>
      <c r="G528" s="195" t="s">
        <v>985</v>
      </c>
      <c r="H528" s="195" t="s">
        <v>45</v>
      </c>
      <c r="I528" s="196" t="s">
        <v>46</v>
      </c>
      <c r="J528" s="196"/>
      <c r="K528" s="195" t="s">
        <v>54</v>
      </c>
      <c r="L528" s="196"/>
      <c r="M528" s="196"/>
      <c r="N528" s="195"/>
      <c r="O528" s="611" t="s">
        <v>53</v>
      </c>
      <c r="P528" s="195" t="s">
        <v>54</v>
      </c>
      <c r="Q528" s="195"/>
      <c r="R528" s="195"/>
      <c r="S528" s="297" t="s">
        <v>989</v>
      </c>
      <c r="T528" s="195" t="s">
        <v>988</v>
      </c>
      <c r="U528" s="195"/>
      <c r="V528" s="197"/>
      <c r="W528" s="185"/>
      <c r="X528" s="141"/>
      <c r="Z528" s="187"/>
      <c r="AA528" s="187"/>
    </row>
    <row r="529" spans="1:27" s="186" customFormat="1" ht="15" customHeight="1">
      <c r="A529" s="215"/>
      <c r="B529" s="213" t="s">
        <v>392</v>
      </c>
      <c r="C529" s="297">
        <f>O518</f>
        <v>0</v>
      </c>
      <c r="D529" s="630">
        <f>Q518</f>
        <v>0</v>
      </c>
      <c r="E529" s="629">
        <f>E522</f>
        <v>0</v>
      </c>
      <c r="F529" s="629">
        <f>F522</f>
        <v>0</v>
      </c>
      <c r="G529" s="629">
        <f>IF(M518=G522,H522,IF(M518=H522,G522,"Espessura Errada"))</f>
        <v>0</v>
      </c>
      <c r="H529" s="629">
        <f>M518</f>
        <v>0</v>
      </c>
      <c r="I529" s="630">
        <f>N518</f>
        <v>0</v>
      </c>
      <c r="J529" s="196"/>
      <c r="K529" s="232" t="e">
        <f t="shared" ref="K529:K560" si="84">C529*PI()/(E529+I529)</f>
        <v>#DIV/0!</v>
      </c>
      <c r="L529" s="196"/>
      <c r="M529" s="196"/>
      <c r="N529" s="195"/>
      <c r="O529" s="614">
        <v>360</v>
      </c>
      <c r="P529" s="195" t="e">
        <f>ROUNDUP(K529/360*O529,0)</f>
        <v>#DIV/0!</v>
      </c>
      <c r="Q529" s="195"/>
      <c r="R529" s="195"/>
      <c r="S529" s="327" t="e">
        <f t="shared" ref="S529:S560" si="85">((E529+I529)*K529)-C529*PI()</f>
        <v>#DIV/0!</v>
      </c>
      <c r="T529" s="327" t="e">
        <f>(((F529+I529)*K529)-(C529-(H529*2))*PI())/K529</f>
        <v>#DIV/0!</v>
      </c>
      <c r="U529" s="195"/>
      <c r="V529" s="197"/>
      <c r="W529" s="185"/>
      <c r="X529" s="141"/>
      <c r="Z529" s="187"/>
      <c r="AA529" s="187"/>
    </row>
    <row r="530" spans="1:27" s="186" customFormat="1" ht="15" customHeight="1">
      <c r="A530" s="215"/>
      <c r="B530" s="213" t="s">
        <v>984</v>
      </c>
      <c r="C530" s="298">
        <f t="shared" ref="C530:C561" si="86">C529+2*SIN(RADIANS(D530))*(G530+I530)</f>
        <v>0</v>
      </c>
      <c r="D530" s="630">
        <f t="shared" ref="D530:I530" si="87">D529</f>
        <v>0</v>
      </c>
      <c r="E530" s="629">
        <f>E529</f>
        <v>0</v>
      </c>
      <c r="F530" s="629">
        <f>F529</f>
        <v>0</v>
      </c>
      <c r="G530" s="629">
        <f>G529</f>
        <v>0</v>
      </c>
      <c r="H530" s="629">
        <f>H529</f>
        <v>0</v>
      </c>
      <c r="I530" s="630">
        <f t="shared" si="87"/>
        <v>0</v>
      </c>
      <c r="J530" s="196"/>
      <c r="K530" s="232" t="e">
        <f t="shared" si="84"/>
        <v>#DIV/0!</v>
      </c>
      <c r="L530" s="196"/>
      <c r="M530" s="196"/>
      <c r="N530" s="195"/>
      <c r="O530" s="615">
        <f>O529</f>
        <v>360</v>
      </c>
      <c r="P530" s="195" t="e">
        <f t="shared" ref="P530:P577" si="88">ROUNDUP(K530/360*O530,0)</f>
        <v>#DIV/0!</v>
      </c>
      <c r="Q530" s="195"/>
      <c r="R530" s="195"/>
      <c r="S530" s="327" t="e">
        <f t="shared" si="85"/>
        <v>#DIV/0!</v>
      </c>
      <c r="T530" s="327" t="e">
        <f t="shared" ref="T530:T560" si="89">(((F530+I530)*K530)-(C530-(H530*2))*PI())/K530</f>
        <v>#DIV/0!</v>
      </c>
      <c r="U530" s="195"/>
      <c r="V530" s="197"/>
      <c r="W530" s="185"/>
      <c r="X530" s="141"/>
      <c r="Z530" s="187"/>
      <c r="AA530" s="187"/>
    </row>
    <row r="531" spans="1:27" s="186" customFormat="1" ht="15" customHeight="1">
      <c r="A531" s="215"/>
      <c r="B531" s="213" t="s">
        <v>393</v>
      </c>
      <c r="C531" s="298">
        <f t="shared" si="86"/>
        <v>0</v>
      </c>
      <c r="D531" s="630">
        <f t="shared" ref="D531:H578" si="90">D530</f>
        <v>0</v>
      </c>
      <c r="E531" s="629">
        <f t="shared" si="90"/>
        <v>0</v>
      </c>
      <c r="F531" s="629">
        <f t="shared" si="90"/>
        <v>0</v>
      </c>
      <c r="G531" s="629">
        <f t="shared" si="90"/>
        <v>0</v>
      </c>
      <c r="H531" s="629">
        <f t="shared" si="90"/>
        <v>0</v>
      </c>
      <c r="I531" s="630">
        <f t="shared" ref="I531:I578" si="91">I530</f>
        <v>0</v>
      </c>
      <c r="J531" s="196"/>
      <c r="K531" s="232" t="e">
        <f t="shared" si="84"/>
        <v>#DIV/0!</v>
      </c>
      <c r="L531" s="196"/>
      <c r="M531" s="196"/>
      <c r="N531" s="195"/>
      <c r="O531" s="615">
        <f t="shared" ref="O531:O578" si="92">O530</f>
        <v>360</v>
      </c>
      <c r="P531" s="195" t="e">
        <f t="shared" si="88"/>
        <v>#DIV/0!</v>
      </c>
      <c r="Q531" s="195"/>
      <c r="R531" s="195"/>
      <c r="S531" s="327" t="e">
        <f t="shared" si="85"/>
        <v>#DIV/0!</v>
      </c>
      <c r="T531" s="327" t="e">
        <f t="shared" si="89"/>
        <v>#DIV/0!</v>
      </c>
      <c r="U531" s="195"/>
      <c r="V531" s="197"/>
      <c r="W531" s="185"/>
      <c r="X531" s="141"/>
      <c r="Z531" s="187"/>
      <c r="AA531" s="187"/>
    </row>
    <row r="532" spans="1:27" s="186" customFormat="1" ht="15" customHeight="1">
      <c r="A532" s="215"/>
      <c r="B532" s="213" t="s">
        <v>394</v>
      </c>
      <c r="C532" s="298">
        <f t="shared" si="86"/>
        <v>0</v>
      </c>
      <c r="D532" s="630">
        <f t="shared" si="90"/>
        <v>0</v>
      </c>
      <c r="E532" s="629">
        <f t="shared" si="90"/>
        <v>0</v>
      </c>
      <c r="F532" s="629">
        <f t="shared" si="90"/>
        <v>0</v>
      </c>
      <c r="G532" s="629">
        <f t="shared" si="90"/>
        <v>0</v>
      </c>
      <c r="H532" s="629">
        <f t="shared" si="90"/>
        <v>0</v>
      </c>
      <c r="I532" s="630">
        <f t="shared" si="91"/>
        <v>0</v>
      </c>
      <c r="J532" s="196"/>
      <c r="K532" s="232" t="e">
        <f t="shared" si="84"/>
        <v>#DIV/0!</v>
      </c>
      <c r="L532" s="196"/>
      <c r="M532" s="196"/>
      <c r="N532" s="195"/>
      <c r="O532" s="615">
        <f t="shared" si="92"/>
        <v>360</v>
      </c>
      <c r="P532" s="195" t="e">
        <f t="shared" si="88"/>
        <v>#DIV/0!</v>
      </c>
      <c r="Q532" s="195"/>
      <c r="R532" s="195"/>
      <c r="S532" s="327" t="e">
        <f t="shared" si="85"/>
        <v>#DIV/0!</v>
      </c>
      <c r="T532" s="327" t="e">
        <f t="shared" si="89"/>
        <v>#DIV/0!</v>
      </c>
      <c r="U532" s="195"/>
      <c r="V532" s="197"/>
      <c r="W532" s="185"/>
      <c r="X532" s="141"/>
      <c r="Z532" s="187"/>
      <c r="AA532" s="187"/>
    </row>
    <row r="533" spans="1:27" s="186" customFormat="1" ht="15" customHeight="1">
      <c r="A533" s="215"/>
      <c r="B533" s="213" t="s">
        <v>395</v>
      </c>
      <c r="C533" s="298">
        <f t="shared" si="86"/>
        <v>0</v>
      </c>
      <c r="D533" s="630">
        <f t="shared" si="90"/>
        <v>0</v>
      </c>
      <c r="E533" s="629">
        <f t="shared" si="90"/>
        <v>0</v>
      </c>
      <c r="F533" s="629">
        <f t="shared" si="90"/>
        <v>0</v>
      </c>
      <c r="G533" s="629">
        <f t="shared" si="90"/>
        <v>0</v>
      </c>
      <c r="H533" s="629">
        <f t="shared" si="90"/>
        <v>0</v>
      </c>
      <c r="I533" s="630">
        <f t="shared" si="91"/>
        <v>0</v>
      </c>
      <c r="J533" s="196"/>
      <c r="K533" s="232" t="e">
        <f t="shared" si="84"/>
        <v>#DIV/0!</v>
      </c>
      <c r="L533" s="196"/>
      <c r="M533" s="196"/>
      <c r="N533" s="195"/>
      <c r="O533" s="615">
        <f t="shared" si="92"/>
        <v>360</v>
      </c>
      <c r="P533" s="195" t="e">
        <f t="shared" si="88"/>
        <v>#DIV/0!</v>
      </c>
      <c r="Q533" s="195"/>
      <c r="R533" s="195"/>
      <c r="S533" s="327" t="e">
        <f t="shared" si="85"/>
        <v>#DIV/0!</v>
      </c>
      <c r="T533" s="327" t="e">
        <f t="shared" si="89"/>
        <v>#DIV/0!</v>
      </c>
      <c r="U533" s="195"/>
      <c r="V533" s="197"/>
      <c r="W533" s="185"/>
      <c r="X533" s="141"/>
      <c r="Z533" s="187"/>
      <c r="AA533" s="187"/>
    </row>
    <row r="534" spans="1:27" s="186" customFormat="1" ht="15" customHeight="1">
      <c r="A534" s="215"/>
      <c r="B534" s="213" t="s">
        <v>396</v>
      </c>
      <c r="C534" s="298">
        <f t="shared" si="86"/>
        <v>0</v>
      </c>
      <c r="D534" s="630">
        <f t="shared" si="90"/>
        <v>0</v>
      </c>
      <c r="E534" s="629">
        <f t="shared" si="90"/>
        <v>0</v>
      </c>
      <c r="F534" s="629">
        <f t="shared" si="90"/>
        <v>0</v>
      </c>
      <c r="G534" s="629">
        <f t="shared" si="90"/>
        <v>0</v>
      </c>
      <c r="H534" s="629">
        <f t="shared" si="90"/>
        <v>0</v>
      </c>
      <c r="I534" s="630">
        <f t="shared" si="91"/>
        <v>0</v>
      </c>
      <c r="J534" s="196"/>
      <c r="K534" s="232" t="e">
        <f t="shared" si="84"/>
        <v>#DIV/0!</v>
      </c>
      <c r="L534" s="196"/>
      <c r="M534" s="196"/>
      <c r="N534" s="195"/>
      <c r="O534" s="615">
        <f t="shared" si="92"/>
        <v>360</v>
      </c>
      <c r="P534" s="195" t="e">
        <f t="shared" si="88"/>
        <v>#DIV/0!</v>
      </c>
      <c r="Q534" s="195"/>
      <c r="R534" s="195"/>
      <c r="S534" s="327" t="e">
        <f t="shared" si="85"/>
        <v>#DIV/0!</v>
      </c>
      <c r="T534" s="327" t="e">
        <f t="shared" si="89"/>
        <v>#DIV/0!</v>
      </c>
      <c r="U534" s="195"/>
      <c r="V534" s="197"/>
      <c r="W534" s="185"/>
      <c r="X534" s="141"/>
      <c r="Z534" s="187"/>
      <c r="AA534" s="187"/>
    </row>
    <row r="535" spans="1:27" s="186" customFormat="1" ht="15" customHeight="1">
      <c r="A535" s="215"/>
      <c r="B535" s="213" t="s">
        <v>397</v>
      </c>
      <c r="C535" s="298">
        <f t="shared" si="86"/>
        <v>0</v>
      </c>
      <c r="D535" s="630">
        <f t="shared" si="90"/>
        <v>0</v>
      </c>
      <c r="E535" s="629">
        <f t="shared" si="90"/>
        <v>0</v>
      </c>
      <c r="F535" s="629">
        <f t="shared" si="90"/>
        <v>0</v>
      </c>
      <c r="G535" s="629">
        <f t="shared" si="90"/>
        <v>0</v>
      </c>
      <c r="H535" s="629">
        <f t="shared" si="90"/>
        <v>0</v>
      </c>
      <c r="I535" s="630">
        <f t="shared" si="91"/>
        <v>0</v>
      </c>
      <c r="J535" s="196"/>
      <c r="K535" s="232" t="e">
        <f t="shared" si="84"/>
        <v>#DIV/0!</v>
      </c>
      <c r="L535" s="196"/>
      <c r="M535" s="196"/>
      <c r="N535" s="195"/>
      <c r="O535" s="615">
        <f t="shared" si="92"/>
        <v>360</v>
      </c>
      <c r="P535" s="195" t="e">
        <f t="shared" si="88"/>
        <v>#DIV/0!</v>
      </c>
      <c r="Q535" s="195"/>
      <c r="R535" s="195"/>
      <c r="S535" s="327" t="e">
        <f t="shared" si="85"/>
        <v>#DIV/0!</v>
      </c>
      <c r="T535" s="327" t="e">
        <f t="shared" si="89"/>
        <v>#DIV/0!</v>
      </c>
      <c r="U535" s="195"/>
      <c r="V535" s="197"/>
      <c r="W535" s="185"/>
      <c r="X535" s="141"/>
      <c r="Z535" s="187"/>
      <c r="AA535" s="187"/>
    </row>
    <row r="536" spans="1:27" s="186" customFormat="1" ht="15" customHeight="1">
      <c r="A536" s="215"/>
      <c r="B536" s="213" t="s">
        <v>398</v>
      </c>
      <c r="C536" s="298">
        <f t="shared" si="86"/>
        <v>0</v>
      </c>
      <c r="D536" s="630">
        <f t="shared" si="90"/>
        <v>0</v>
      </c>
      <c r="E536" s="629">
        <f t="shared" si="90"/>
        <v>0</v>
      </c>
      <c r="F536" s="629">
        <f t="shared" si="90"/>
        <v>0</v>
      </c>
      <c r="G536" s="629">
        <f t="shared" si="90"/>
        <v>0</v>
      </c>
      <c r="H536" s="629">
        <f t="shared" si="90"/>
        <v>0</v>
      </c>
      <c r="I536" s="630">
        <f t="shared" si="91"/>
        <v>0</v>
      </c>
      <c r="J536" s="196"/>
      <c r="K536" s="232" t="e">
        <f t="shared" si="84"/>
        <v>#DIV/0!</v>
      </c>
      <c r="L536" s="232"/>
      <c r="M536" s="232"/>
      <c r="N536" s="195"/>
      <c r="O536" s="615">
        <f t="shared" si="92"/>
        <v>360</v>
      </c>
      <c r="P536" s="195" t="e">
        <f t="shared" si="88"/>
        <v>#DIV/0!</v>
      </c>
      <c r="Q536" s="195"/>
      <c r="R536" s="195"/>
      <c r="S536" s="327" t="e">
        <f t="shared" si="85"/>
        <v>#DIV/0!</v>
      </c>
      <c r="T536" s="327" t="e">
        <f t="shared" si="89"/>
        <v>#DIV/0!</v>
      </c>
      <c r="U536" s="195"/>
      <c r="V536" s="197"/>
      <c r="W536" s="185"/>
      <c r="X536" s="141"/>
      <c r="Z536" s="187"/>
      <c r="AA536" s="187"/>
    </row>
    <row r="537" spans="1:27" s="186" customFormat="1" ht="15" customHeight="1">
      <c r="A537" s="215"/>
      <c r="B537" s="213" t="s">
        <v>399</v>
      </c>
      <c r="C537" s="298">
        <f t="shared" si="86"/>
        <v>0</v>
      </c>
      <c r="D537" s="630">
        <f t="shared" si="90"/>
        <v>0</v>
      </c>
      <c r="E537" s="629">
        <f t="shared" si="90"/>
        <v>0</v>
      </c>
      <c r="F537" s="629">
        <f t="shared" si="90"/>
        <v>0</v>
      </c>
      <c r="G537" s="629">
        <f t="shared" si="90"/>
        <v>0</v>
      </c>
      <c r="H537" s="629">
        <f t="shared" si="90"/>
        <v>0</v>
      </c>
      <c r="I537" s="630">
        <f t="shared" si="91"/>
        <v>0</v>
      </c>
      <c r="J537" s="196"/>
      <c r="K537" s="232" t="e">
        <f t="shared" si="84"/>
        <v>#DIV/0!</v>
      </c>
      <c r="L537" s="232"/>
      <c r="M537" s="232"/>
      <c r="N537" s="195"/>
      <c r="O537" s="615">
        <f t="shared" si="92"/>
        <v>360</v>
      </c>
      <c r="P537" s="195" t="e">
        <f t="shared" si="88"/>
        <v>#DIV/0!</v>
      </c>
      <c r="Q537" s="195"/>
      <c r="R537" s="195"/>
      <c r="S537" s="327" t="e">
        <f t="shared" si="85"/>
        <v>#DIV/0!</v>
      </c>
      <c r="T537" s="327" t="e">
        <f t="shared" si="89"/>
        <v>#DIV/0!</v>
      </c>
      <c r="U537" s="195"/>
      <c r="V537" s="197"/>
      <c r="W537" s="185"/>
      <c r="X537" s="141"/>
      <c r="Z537" s="187"/>
      <c r="AA537" s="187"/>
    </row>
    <row r="538" spans="1:27" s="186" customFormat="1" ht="15" customHeight="1">
      <c r="A538" s="215"/>
      <c r="B538" s="213" t="s">
        <v>400</v>
      </c>
      <c r="C538" s="298">
        <f t="shared" si="86"/>
        <v>0</v>
      </c>
      <c r="D538" s="630">
        <f t="shared" si="90"/>
        <v>0</v>
      </c>
      <c r="E538" s="629">
        <f t="shared" si="90"/>
        <v>0</v>
      </c>
      <c r="F538" s="629">
        <f t="shared" si="90"/>
        <v>0</v>
      </c>
      <c r="G538" s="629">
        <f t="shared" si="90"/>
        <v>0</v>
      </c>
      <c r="H538" s="629">
        <f t="shared" si="90"/>
        <v>0</v>
      </c>
      <c r="I538" s="630">
        <f t="shared" si="91"/>
        <v>0</v>
      </c>
      <c r="J538" s="196"/>
      <c r="K538" s="232" t="e">
        <f t="shared" si="84"/>
        <v>#DIV/0!</v>
      </c>
      <c r="L538" s="232"/>
      <c r="M538" s="232"/>
      <c r="N538" s="195"/>
      <c r="O538" s="615">
        <f t="shared" si="92"/>
        <v>360</v>
      </c>
      <c r="P538" s="195" t="e">
        <f t="shared" si="88"/>
        <v>#DIV/0!</v>
      </c>
      <c r="Q538" s="195"/>
      <c r="R538" s="195"/>
      <c r="S538" s="327" t="e">
        <f t="shared" si="85"/>
        <v>#DIV/0!</v>
      </c>
      <c r="T538" s="327" t="e">
        <f t="shared" si="89"/>
        <v>#DIV/0!</v>
      </c>
      <c r="U538" s="195"/>
      <c r="V538" s="197"/>
      <c r="W538" s="185"/>
      <c r="X538" s="141"/>
      <c r="Z538" s="187"/>
      <c r="AA538" s="187"/>
    </row>
    <row r="539" spans="1:27" s="186" customFormat="1" ht="15" customHeight="1">
      <c r="A539" s="215"/>
      <c r="B539" s="213" t="s">
        <v>401</v>
      </c>
      <c r="C539" s="298">
        <f t="shared" si="86"/>
        <v>0</v>
      </c>
      <c r="D539" s="630">
        <f t="shared" si="90"/>
        <v>0</v>
      </c>
      <c r="E539" s="629">
        <f t="shared" si="90"/>
        <v>0</v>
      </c>
      <c r="F539" s="629">
        <f t="shared" si="90"/>
        <v>0</v>
      </c>
      <c r="G539" s="629">
        <f t="shared" si="90"/>
        <v>0</v>
      </c>
      <c r="H539" s="629">
        <f t="shared" si="90"/>
        <v>0</v>
      </c>
      <c r="I539" s="630">
        <f t="shared" si="91"/>
        <v>0</v>
      </c>
      <c r="J539" s="196"/>
      <c r="K539" s="232" t="e">
        <f t="shared" si="84"/>
        <v>#DIV/0!</v>
      </c>
      <c r="L539" s="232"/>
      <c r="M539" s="232"/>
      <c r="N539" s="195"/>
      <c r="O539" s="615">
        <f t="shared" si="92"/>
        <v>360</v>
      </c>
      <c r="P539" s="195" t="e">
        <f t="shared" si="88"/>
        <v>#DIV/0!</v>
      </c>
      <c r="Q539" s="195"/>
      <c r="R539" s="195"/>
      <c r="S539" s="327" t="e">
        <f t="shared" si="85"/>
        <v>#DIV/0!</v>
      </c>
      <c r="T539" s="327" t="e">
        <f t="shared" si="89"/>
        <v>#DIV/0!</v>
      </c>
      <c r="U539" s="195"/>
      <c r="V539" s="197"/>
      <c r="W539" s="185"/>
      <c r="X539" s="141"/>
      <c r="Z539" s="187"/>
      <c r="AA539" s="187"/>
    </row>
    <row r="540" spans="1:27" s="186" customFormat="1" ht="15" customHeight="1">
      <c r="A540" s="215"/>
      <c r="B540" s="213" t="s">
        <v>402</v>
      </c>
      <c r="C540" s="298">
        <f t="shared" si="86"/>
        <v>0</v>
      </c>
      <c r="D540" s="630">
        <f t="shared" si="90"/>
        <v>0</v>
      </c>
      <c r="E540" s="629">
        <f t="shared" si="90"/>
        <v>0</v>
      </c>
      <c r="F540" s="629">
        <f t="shared" si="90"/>
        <v>0</v>
      </c>
      <c r="G540" s="629">
        <f t="shared" si="90"/>
        <v>0</v>
      </c>
      <c r="H540" s="629">
        <f t="shared" si="90"/>
        <v>0</v>
      </c>
      <c r="I540" s="630">
        <f t="shared" si="91"/>
        <v>0</v>
      </c>
      <c r="J540" s="196"/>
      <c r="K540" s="232" t="e">
        <f t="shared" si="84"/>
        <v>#DIV/0!</v>
      </c>
      <c r="L540" s="232"/>
      <c r="M540" s="232"/>
      <c r="N540" s="195"/>
      <c r="O540" s="615">
        <f t="shared" si="92"/>
        <v>360</v>
      </c>
      <c r="P540" s="195" t="e">
        <f t="shared" si="88"/>
        <v>#DIV/0!</v>
      </c>
      <c r="Q540" s="195"/>
      <c r="R540" s="195"/>
      <c r="S540" s="327" t="e">
        <f t="shared" si="85"/>
        <v>#DIV/0!</v>
      </c>
      <c r="T540" s="327" t="e">
        <f t="shared" si="89"/>
        <v>#DIV/0!</v>
      </c>
      <c r="U540" s="195"/>
      <c r="V540" s="197"/>
      <c r="W540" s="185"/>
      <c r="X540" s="141"/>
      <c r="Z540" s="187"/>
      <c r="AA540" s="187"/>
    </row>
    <row r="541" spans="1:27" s="186" customFormat="1" ht="15" customHeight="1">
      <c r="A541" s="215"/>
      <c r="B541" s="213" t="s">
        <v>403</v>
      </c>
      <c r="C541" s="298">
        <f t="shared" si="86"/>
        <v>0</v>
      </c>
      <c r="D541" s="630">
        <f t="shared" si="90"/>
        <v>0</v>
      </c>
      <c r="E541" s="629">
        <f t="shared" si="90"/>
        <v>0</v>
      </c>
      <c r="F541" s="629">
        <f t="shared" si="90"/>
        <v>0</v>
      </c>
      <c r="G541" s="629">
        <f t="shared" si="90"/>
        <v>0</v>
      </c>
      <c r="H541" s="629">
        <f t="shared" si="90"/>
        <v>0</v>
      </c>
      <c r="I541" s="630">
        <f t="shared" si="91"/>
        <v>0</v>
      </c>
      <c r="J541" s="196"/>
      <c r="K541" s="232" t="e">
        <f t="shared" si="84"/>
        <v>#DIV/0!</v>
      </c>
      <c r="L541" s="232"/>
      <c r="M541" s="232"/>
      <c r="N541" s="195"/>
      <c r="O541" s="615">
        <f t="shared" si="92"/>
        <v>360</v>
      </c>
      <c r="P541" s="195" t="e">
        <f t="shared" si="88"/>
        <v>#DIV/0!</v>
      </c>
      <c r="Q541" s="195"/>
      <c r="R541" s="195"/>
      <c r="S541" s="327" t="e">
        <f t="shared" si="85"/>
        <v>#DIV/0!</v>
      </c>
      <c r="T541" s="327" t="e">
        <f t="shared" si="89"/>
        <v>#DIV/0!</v>
      </c>
      <c r="U541" s="195"/>
      <c r="V541" s="197"/>
      <c r="W541" s="185"/>
      <c r="X541" s="141"/>
      <c r="Z541" s="187"/>
      <c r="AA541" s="187"/>
    </row>
    <row r="542" spans="1:27" s="186" customFormat="1" ht="15" customHeight="1">
      <c r="A542" s="215"/>
      <c r="B542" s="213" t="s">
        <v>404</v>
      </c>
      <c r="C542" s="298">
        <f t="shared" si="86"/>
        <v>0</v>
      </c>
      <c r="D542" s="630">
        <f t="shared" si="90"/>
        <v>0</v>
      </c>
      <c r="E542" s="629">
        <f t="shared" si="90"/>
        <v>0</v>
      </c>
      <c r="F542" s="629">
        <f t="shared" si="90"/>
        <v>0</v>
      </c>
      <c r="G542" s="629">
        <f t="shared" si="90"/>
        <v>0</v>
      </c>
      <c r="H542" s="629">
        <f t="shared" si="90"/>
        <v>0</v>
      </c>
      <c r="I542" s="630">
        <f t="shared" si="91"/>
        <v>0</v>
      </c>
      <c r="J542" s="196"/>
      <c r="K542" s="232" t="e">
        <f t="shared" si="84"/>
        <v>#DIV/0!</v>
      </c>
      <c r="L542" s="232"/>
      <c r="M542" s="232"/>
      <c r="N542" s="195"/>
      <c r="O542" s="615">
        <f t="shared" si="92"/>
        <v>360</v>
      </c>
      <c r="P542" s="195" t="e">
        <f t="shared" si="88"/>
        <v>#DIV/0!</v>
      </c>
      <c r="Q542" s="195"/>
      <c r="R542" s="195"/>
      <c r="S542" s="327" t="e">
        <f t="shared" si="85"/>
        <v>#DIV/0!</v>
      </c>
      <c r="T542" s="327" t="e">
        <f t="shared" si="89"/>
        <v>#DIV/0!</v>
      </c>
      <c r="U542" s="195"/>
      <c r="V542" s="197"/>
      <c r="W542" s="185"/>
      <c r="X542" s="141"/>
      <c r="Z542" s="187"/>
      <c r="AA542" s="187"/>
    </row>
    <row r="543" spans="1:27" s="186" customFormat="1" ht="15" customHeight="1">
      <c r="A543" s="215"/>
      <c r="B543" s="213" t="s">
        <v>405</v>
      </c>
      <c r="C543" s="298">
        <f t="shared" si="86"/>
        <v>0</v>
      </c>
      <c r="D543" s="630">
        <f t="shared" si="90"/>
        <v>0</v>
      </c>
      <c r="E543" s="629">
        <f t="shared" si="90"/>
        <v>0</v>
      </c>
      <c r="F543" s="629">
        <f t="shared" si="90"/>
        <v>0</v>
      </c>
      <c r="G543" s="629">
        <f t="shared" si="90"/>
        <v>0</v>
      </c>
      <c r="H543" s="629">
        <f t="shared" si="90"/>
        <v>0</v>
      </c>
      <c r="I543" s="630">
        <f t="shared" si="91"/>
        <v>0</v>
      </c>
      <c r="J543" s="196"/>
      <c r="K543" s="232" t="e">
        <f t="shared" si="84"/>
        <v>#DIV/0!</v>
      </c>
      <c r="L543" s="232"/>
      <c r="M543" s="232"/>
      <c r="N543" s="195"/>
      <c r="O543" s="615">
        <f t="shared" si="92"/>
        <v>360</v>
      </c>
      <c r="P543" s="195" t="e">
        <f t="shared" si="88"/>
        <v>#DIV/0!</v>
      </c>
      <c r="Q543" s="195"/>
      <c r="R543" s="195"/>
      <c r="S543" s="327" t="e">
        <f t="shared" si="85"/>
        <v>#DIV/0!</v>
      </c>
      <c r="T543" s="327" t="e">
        <f t="shared" si="89"/>
        <v>#DIV/0!</v>
      </c>
      <c r="U543" s="195"/>
      <c r="V543" s="197"/>
      <c r="W543" s="185"/>
      <c r="X543" s="141"/>
      <c r="Z543" s="187"/>
      <c r="AA543" s="187"/>
    </row>
    <row r="544" spans="1:27" s="186" customFormat="1" ht="15" customHeight="1">
      <c r="A544" s="215"/>
      <c r="B544" s="213" t="s">
        <v>406</v>
      </c>
      <c r="C544" s="298">
        <f t="shared" si="86"/>
        <v>0</v>
      </c>
      <c r="D544" s="630">
        <f t="shared" si="90"/>
        <v>0</v>
      </c>
      <c r="E544" s="629">
        <f t="shared" si="90"/>
        <v>0</v>
      </c>
      <c r="F544" s="629">
        <f t="shared" si="90"/>
        <v>0</v>
      </c>
      <c r="G544" s="629">
        <f t="shared" si="90"/>
        <v>0</v>
      </c>
      <c r="H544" s="629">
        <f t="shared" si="90"/>
        <v>0</v>
      </c>
      <c r="I544" s="630">
        <f t="shared" si="91"/>
        <v>0</v>
      </c>
      <c r="J544" s="196"/>
      <c r="K544" s="232" t="e">
        <f t="shared" si="84"/>
        <v>#DIV/0!</v>
      </c>
      <c r="L544" s="232"/>
      <c r="M544" s="232"/>
      <c r="N544" s="195"/>
      <c r="O544" s="615">
        <f t="shared" si="92"/>
        <v>360</v>
      </c>
      <c r="P544" s="195" t="e">
        <f t="shared" si="88"/>
        <v>#DIV/0!</v>
      </c>
      <c r="Q544" s="195"/>
      <c r="R544" s="195"/>
      <c r="S544" s="327" t="e">
        <f t="shared" si="85"/>
        <v>#DIV/0!</v>
      </c>
      <c r="T544" s="327" t="e">
        <f t="shared" si="89"/>
        <v>#DIV/0!</v>
      </c>
      <c r="U544" s="195"/>
      <c r="V544" s="197"/>
      <c r="W544" s="185"/>
      <c r="X544" s="141"/>
      <c r="Z544" s="187"/>
      <c r="AA544" s="187"/>
    </row>
    <row r="545" spans="1:27" s="186" customFormat="1" ht="15" customHeight="1">
      <c r="A545" s="215"/>
      <c r="B545" s="213" t="s">
        <v>407</v>
      </c>
      <c r="C545" s="298">
        <f t="shared" si="86"/>
        <v>0</v>
      </c>
      <c r="D545" s="630">
        <f t="shared" si="90"/>
        <v>0</v>
      </c>
      <c r="E545" s="629">
        <f t="shared" si="90"/>
        <v>0</v>
      </c>
      <c r="F545" s="629">
        <f t="shared" si="90"/>
        <v>0</v>
      </c>
      <c r="G545" s="629">
        <f t="shared" si="90"/>
        <v>0</v>
      </c>
      <c r="H545" s="629">
        <f t="shared" si="90"/>
        <v>0</v>
      </c>
      <c r="I545" s="630">
        <f t="shared" si="91"/>
        <v>0</v>
      </c>
      <c r="J545" s="196"/>
      <c r="K545" s="232" t="e">
        <f t="shared" si="84"/>
        <v>#DIV/0!</v>
      </c>
      <c r="L545" s="232"/>
      <c r="M545" s="232"/>
      <c r="N545" s="195"/>
      <c r="O545" s="615">
        <f t="shared" si="92"/>
        <v>360</v>
      </c>
      <c r="P545" s="195" t="e">
        <f t="shared" si="88"/>
        <v>#DIV/0!</v>
      </c>
      <c r="Q545" s="195"/>
      <c r="R545" s="195"/>
      <c r="S545" s="327" t="e">
        <f t="shared" si="85"/>
        <v>#DIV/0!</v>
      </c>
      <c r="T545" s="327" t="e">
        <f t="shared" si="89"/>
        <v>#DIV/0!</v>
      </c>
      <c r="U545" s="195"/>
      <c r="V545" s="197"/>
      <c r="W545" s="185"/>
      <c r="X545" s="141"/>
      <c r="Z545" s="187"/>
      <c r="AA545" s="187"/>
    </row>
    <row r="546" spans="1:27" s="186" customFormat="1" ht="15" customHeight="1">
      <c r="A546" s="215"/>
      <c r="B546" s="213" t="s">
        <v>408</v>
      </c>
      <c r="C546" s="298">
        <f t="shared" si="86"/>
        <v>0</v>
      </c>
      <c r="D546" s="630">
        <f t="shared" si="90"/>
        <v>0</v>
      </c>
      <c r="E546" s="629">
        <f t="shared" si="90"/>
        <v>0</v>
      </c>
      <c r="F546" s="629">
        <f t="shared" si="90"/>
        <v>0</v>
      </c>
      <c r="G546" s="629">
        <f t="shared" si="90"/>
        <v>0</v>
      </c>
      <c r="H546" s="629">
        <f t="shared" si="90"/>
        <v>0</v>
      </c>
      <c r="I546" s="630">
        <f t="shared" si="91"/>
        <v>0</v>
      </c>
      <c r="J546" s="196"/>
      <c r="K546" s="232" t="e">
        <f t="shared" si="84"/>
        <v>#DIV/0!</v>
      </c>
      <c r="L546" s="232"/>
      <c r="M546" s="232"/>
      <c r="N546" s="195"/>
      <c r="O546" s="615">
        <f t="shared" si="92"/>
        <v>360</v>
      </c>
      <c r="P546" s="195" t="e">
        <f t="shared" si="88"/>
        <v>#DIV/0!</v>
      </c>
      <c r="Q546" s="195"/>
      <c r="R546" s="195"/>
      <c r="S546" s="327" t="e">
        <f t="shared" si="85"/>
        <v>#DIV/0!</v>
      </c>
      <c r="T546" s="327" t="e">
        <f t="shared" si="89"/>
        <v>#DIV/0!</v>
      </c>
      <c r="U546" s="195"/>
      <c r="V546" s="197"/>
      <c r="W546" s="185"/>
      <c r="X546" s="141"/>
      <c r="Z546" s="187"/>
      <c r="AA546" s="187"/>
    </row>
    <row r="547" spans="1:27" s="186" customFormat="1" ht="15" customHeight="1">
      <c r="A547" s="215"/>
      <c r="B547" s="213" t="s">
        <v>409</v>
      </c>
      <c r="C547" s="298">
        <f t="shared" si="86"/>
        <v>0</v>
      </c>
      <c r="D547" s="630">
        <f t="shared" si="90"/>
        <v>0</v>
      </c>
      <c r="E547" s="629">
        <f t="shared" si="90"/>
        <v>0</v>
      </c>
      <c r="F547" s="629">
        <f t="shared" si="90"/>
        <v>0</v>
      </c>
      <c r="G547" s="629">
        <f t="shared" si="90"/>
        <v>0</v>
      </c>
      <c r="H547" s="629">
        <f t="shared" si="90"/>
        <v>0</v>
      </c>
      <c r="I547" s="630">
        <f t="shared" si="91"/>
        <v>0</v>
      </c>
      <c r="J547" s="196"/>
      <c r="K547" s="232" t="e">
        <f t="shared" si="84"/>
        <v>#DIV/0!</v>
      </c>
      <c r="L547" s="232"/>
      <c r="M547" s="232"/>
      <c r="N547" s="195"/>
      <c r="O547" s="615">
        <f t="shared" si="92"/>
        <v>360</v>
      </c>
      <c r="P547" s="195" t="e">
        <f t="shared" si="88"/>
        <v>#DIV/0!</v>
      </c>
      <c r="Q547" s="195"/>
      <c r="R547" s="195"/>
      <c r="S547" s="327" t="e">
        <f t="shared" si="85"/>
        <v>#DIV/0!</v>
      </c>
      <c r="T547" s="327" t="e">
        <f t="shared" si="89"/>
        <v>#DIV/0!</v>
      </c>
      <c r="U547" s="195"/>
      <c r="V547" s="197"/>
      <c r="W547" s="185"/>
      <c r="X547" s="141"/>
      <c r="Z547" s="187"/>
      <c r="AA547" s="187"/>
    </row>
    <row r="548" spans="1:27" s="186" customFormat="1" ht="15" customHeight="1">
      <c r="A548" s="215"/>
      <c r="B548" s="213" t="s">
        <v>410</v>
      </c>
      <c r="C548" s="298">
        <f t="shared" si="86"/>
        <v>0</v>
      </c>
      <c r="D548" s="630">
        <f t="shared" si="90"/>
        <v>0</v>
      </c>
      <c r="E548" s="629">
        <f t="shared" si="90"/>
        <v>0</v>
      </c>
      <c r="F548" s="629">
        <f t="shared" si="90"/>
        <v>0</v>
      </c>
      <c r="G548" s="629">
        <f t="shared" si="90"/>
        <v>0</v>
      </c>
      <c r="H548" s="629">
        <f t="shared" si="90"/>
        <v>0</v>
      </c>
      <c r="I548" s="630">
        <f t="shared" si="91"/>
        <v>0</v>
      </c>
      <c r="J548" s="196"/>
      <c r="K548" s="232" t="e">
        <f t="shared" si="84"/>
        <v>#DIV/0!</v>
      </c>
      <c r="L548" s="232"/>
      <c r="M548" s="232"/>
      <c r="N548" s="195"/>
      <c r="O548" s="615">
        <f t="shared" si="92"/>
        <v>360</v>
      </c>
      <c r="P548" s="195" t="e">
        <f t="shared" si="88"/>
        <v>#DIV/0!</v>
      </c>
      <c r="Q548" s="195"/>
      <c r="R548" s="195"/>
      <c r="S548" s="327" t="e">
        <f t="shared" si="85"/>
        <v>#DIV/0!</v>
      </c>
      <c r="T548" s="327" t="e">
        <f t="shared" si="89"/>
        <v>#DIV/0!</v>
      </c>
      <c r="U548" s="195"/>
      <c r="V548" s="197"/>
      <c r="W548" s="185"/>
      <c r="X548" s="141"/>
      <c r="Z548" s="187"/>
      <c r="AA548" s="187"/>
    </row>
    <row r="549" spans="1:27" s="186" customFormat="1" ht="15" customHeight="1">
      <c r="A549" s="215"/>
      <c r="B549" s="213" t="s">
        <v>411</v>
      </c>
      <c r="C549" s="298">
        <f t="shared" si="86"/>
        <v>0</v>
      </c>
      <c r="D549" s="630">
        <f t="shared" si="90"/>
        <v>0</v>
      </c>
      <c r="E549" s="629">
        <f t="shared" si="90"/>
        <v>0</v>
      </c>
      <c r="F549" s="629">
        <f t="shared" si="90"/>
        <v>0</v>
      </c>
      <c r="G549" s="629">
        <f t="shared" si="90"/>
        <v>0</v>
      </c>
      <c r="H549" s="629">
        <f t="shared" si="90"/>
        <v>0</v>
      </c>
      <c r="I549" s="630">
        <f t="shared" si="91"/>
        <v>0</v>
      </c>
      <c r="J549" s="196"/>
      <c r="K549" s="232" t="e">
        <f t="shared" si="84"/>
        <v>#DIV/0!</v>
      </c>
      <c r="L549" s="232"/>
      <c r="M549" s="232"/>
      <c r="N549" s="195"/>
      <c r="O549" s="615">
        <f t="shared" si="92"/>
        <v>360</v>
      </c>
      <c r="P549" s="195" t="e">
        <f t="shared" si="88"/>
        <v>#DIV/0!</v>
      </c>
      <c r="Q549" s="195"/>
      <c r="R549" s="195"/>
      <c r="S549" s="327" t="e">
        <f t="shared" si="85"/>
        <v>#DIV/0!</v>
      </c>
      <c r="T549" s="327" t="e">
        <f t="shared" si="89"/>
        <v>#DIV/0!</v>
      </c>
      <c r="U549" s="195"/>
      <c r="V549" s="197"/>
      <c r="W549" s="185"/>
      <c r="X549" s="141"/>
      <c r="Z549" s="187"/>
      <c r="AA549" s="187"/>
    </row>
    <row r="550" spans="1:27" s="186" customFormat="1" ht="15" customHeight="1">
      <c r="A550" s="215"/>
      <c r="B550" s="213" t="s">
        <v>412</v>
      </c>
      <c r="C550" s="298">
        <f t="shared" si="86"/>
        <v>0</v>
      </c>
      <c r="D550" s="630">
        <f t="shared" si="90"/>
        <v>0</v>
      </c>
      <c r="E550" s="629">
        <f t="shared" si="90"/>
        <v>0</v>
      </c>
      <c r="F550" s="629">
        <f t="shared" si="90"/>
        <v>0</v>
      </c>
      <c r="G550" s="629">
        <f t="shared" si="90"/>
        <v>0</v>
      </c>
      <c r="H550" s="629">
        <f t="shared" si="90"/>
        <v>0</v>
      </c>
      <c r="I550" s="630">
        <f t="shared" si="91"/>
        <v>0</v>
      </c>
      <c r="J550" s="196"/>
      <c r="K550" s="232" t="e">
        <f t="shared" si="84"/>
        <v>#DIV/0!</v>
      </c>
      <c r="L550" s="232"/>
      <c r="M550" s="232"/>
      <c r="N550" s="195"/>
      <c r="O550" s="615">
        <f t="shared" si="92"/>
        <v>360</v>
      </c>
      <c r="P550" s="195" t="e">
        <f t="shared" si="88"/>
        <v>#DIV/0!</v>
      </c>
      <c r="Q550" s="195"/>
      <c r="R550" s="195"/>
      <c r="S550" s="327" t="e">
        <f t="shared" si="85"/>
        <v>#DIV/0!</v>
      </c>
      <c r="T550" s="327" t="e">
        <f t="shared" si="89"/>
        <v>#DIV/0!</v>
      </c>
      <c r="U550" s="195"/>
      <c r="V550" s="197"/>
      <c r="W550" s="185"/>
      <c r="X550" s="141"/>
      <c r="Z550" s="187"/>
      <c r="AA550" s="187"/>
    </row>
    <row r="551" spans="1:27" s="186" customFormat="1" ht="15" customHeight="1">
      <c r="A551" s="215"/>
      <c r="B551" s="213" t="s">
        <v>413</v>
      </c>
      <c r="C551" s="298">
        <f t="shared" si="86"/>
        <v>0</v>
      </c>
      <c r="D551" s="630">
        <f t="shared" si="90"/>
        <v>0</v>
      </c>
      <c r="E551" s="629">
        <f t="shared" si="90"/>
        <v>0</v>
      </c>
      <c r="F551" s="629">
        <f t="shared" si="90"/>
        <v>0</v>
      </c>
      <c r="G551" s="629">
        <f t="shared" si="90"/>
        <v>0</v>
      </c>
      <c r="H551" s="629">
        <f t="shared" si="90"/>
        <v>0</v>
      </c>
      <c r="I551" s="630">
        <f t="shared" si="91"/>
        <v>0</v>
      </c>
      <c r="J551" s="196"/>
      <c r="K551" s="232" t="e">
        <f t="shared" si="84"/>
        <v>#DIV/0!</v>
      </c>
      <c r="L551" s="232"/>
      <c r="M551" s="232"/>
      <c r="N551" s="195"/>
      <c r="O551" s="615">
        <f t="shared" si="92"/>
        <v>360</v>
      </c>
      <c r="P551" s="195" t="e">
        <f t="shared" si="88"/>
        <v>#DIV/0!</v>
      </c>
      <c r="Q551" s="195"/>
      <c r="R551" s="195"/>
      <c r="S551" s="327" t="e">
        <f t="shared" si="85"/>
        <v>#DIV/0!</v>
      </c>
      <c r="T551" s="327" t="e">
        <f t="shared" si="89"/>
        <v>#DIV/0!</v>
      </c>
      <c r="U551" s="195"/>
      <c r="V551" s="197"/>
      <c r="W551" s="185"/>
      <c r="X551" s="141"/>
      <c r="Z551" s="187"/>
      <c r="AA551" s="187"/>
    </row>
    <row r="552" spans="1:27" s="186" customFormat="1" ht="15" customHeight="1">
      <c r="A552" s="215"/>
      <c r="B552" s="213" t="s">
        <v>414</v>
      </c>
      <c r="C552" s="298">
        <f t="shared" si="86"/>
        <v>0</v>
      </c>
      <c r="D552" s="630">
        <f t="shared" si="90"/>
        <v>0</v>
      </c>
      <c r="E552" s="629">
        <f t="shared" si="90"/>
        <v>0</v>
      </c>
      <c r="F552" s="629">
        <f t="shared" si="90"/>
        <v>0</v>
      </c>
      <c r="G552" s="629">
        <f t="shared" si="90"/>
        <v>0</v>
      </c>
      <c r="H552" s="629">
        <f t="shared" si="90"/>
        <v>0</v>
      </c>
      <c r="I552" s="630">
        <f t="shared" si="91"/>
        <v>0</v>
      </c>
      <c r="J552" s="196"/>
      <c r="K552" s="232" t="e">
        <f t="shared" si="84"/>
        <v>#DIV/0!</v>
      </c>
      <c r="L552" s="232"/>
      <c r="M552" s="232"/>
      <c r="N552" s="195"/>
      <c r="O552" s="615">
        <f t="shared" si="92"/>
        <v>360</v>
      </c>
      <c r="P552" s="195" t="e">
        <f t="shared" si="88"/>
        <v>#DIV/0!</v>
      </c>
      <c r="Q552" s="195"/>
      <c r="R552" s="195"/>
      <c r="S552" s="327" t="e">
        <f t="shared" si="85"/>
        <v>#DIV/0!</v>
      </c>
      <c r="T552" s="327" t="e">
        <f t="shared" si="89"/>
        <v>#DIV/0!</v>
      </c>
      <c r="U552" s="195"/>
      <c r="V552" s="197"/>
      <c r="W552" s="185"/>
      <c r="X552" s="141"/>
      <c r="Z552" s="187"/>
      <c r="AA552" s="187"/>
    </row>
    <row r="553" spans="1:27" s="186" customFormat="1" ht="15" customHeight="1">
      <c r="A553" s="215"/>
      <c r="B553" s="213" t="s">
        <v>415</v>
      </c>
      <c r="C553" s="298">
        <f t="shared" si="86"/>
        <v>0</v>
      </c>
      <c r="D553" s="630">
        <f t="shared" si="90"/>
        <v>0</v>
      </c>
      <c r="E553" s="629">
        <f t="shared" si="90"/>
        <v>0</v>
      </c>
      <c r="F553" s="629">
        <f t="shared" si="90"/>
        <v>0</v>
      </c>
      <c r="G553" s="629">
        <f t="shared" si="90"/>
        <v>0</v>
      </c>
      <c r="H553" s="629">
        <f t="shared" si="90"/>
        <v>0</v>
      </c>
      <c r="I553" s="630">
        <f t="shared" si="91"/>
        <v>0</v>
      </c>
      <c r="J553" s="196"/>
      <c r="K553" s="232" t="e">
        <f t="shared" si="84"/>
        <v>#DIV/0!</v>
      </c>
      <c r="L553" s="232"/>
      <c r="M553" s="232"/>
      <c r="N553" s="195"/>
      <c r="O553" s="615">
        <f t="shared" si="92"/>
        <v>360</v>
      </c>
      <c r="P553" s="195" t="e">
        <f t="shared" si="88"/>
        <v>#DIV/0!</v>
      </c>
      <c r="Q553" s="195"/>
      <c r="R553" s="195"/>
      <c r="S553" s="327" t="e">
        <f t="shared" si="85"/>
        <v>#DIV/0!</v>
      </c>
      <c r="T553" s="327" t="e">
        <f t="shared" si="89"/>
        <v>#DIV/0!</v>
      </c>
      <c r="U553" s="195"/>
      <c r="V553" s="197"/>
      <c r="W553" s="185"/>
      <c r="X553" s="141"/>
      <c r="Z553" s="187"/>
      <c r="AA553" s="187"/>
    </row>
    <row r="554" spans="1:27" s="186" customFormat="1" ht="15" customHeight="1">
      <c r="A554" s="215"/>
      <c r="B554" s="213" t="s">
        <v>416</v>
      </c>
      <c r="C554" s="298">
        <f t="shared" si="86"/>
        <v>0</v>
      </c>
      <c r="D554" s="630">
        <f t="shared" si="90"/>
        <v>0</v>
      </c>
      <c r="E554" s="629">
        <f t="shared" si="90"/>
        <v>0</v>
      </c>
      <c r="F554" s="629">
        <f t="shared" si="90"/>
        <v>0</v>
      </c>
      <c r="G554" s="629">
        <f t="shared" si="90"/>
        <v>0</v>
      </c>
      <c r="H554" s="629">
        <f t="shared" si="90"/>
        <v>0</v>
      </c>
      <c r="I554" s="630">
        <f t="shared" si="91"/>
        <v>0</v>
      </c>
      <c r="J554" s="196"/>
      <c r="K554" s="232" t="e">
        <f t="shared" si="84"/>
        <v>#DIV/0!</v>
      </c>
      <c r="L554" s="232"/>
      <c r="M554" s="232"/>
      <c r="N554" s="195"/>
      <c r="O554" s="615">
        <f t="shared" si="92"/>
        <v>360</v>
      </c>
      <c r="P554" s="195" t="e">
        <f t="shared" si="88"/>
        <v>#DIV/0!</v>
      </c>
      <c r="Q554" s="195"/>
      <c r="R554" s="195"/>
      <c r="S554" s="327" t="e">
        <f t="shared" si="85"/>
        <v>#DIV/0!</v>
      </c>
      <c r="T554" s="327" t="e">
        <f t="shared" si="89"/>
        <v>#DIV/0!</v>
      </c>
      <c r="U554" s="195"/>
      <c r="V554" s="197"/>
      <c r="W554" s="185"/>
      <c r="X554" s="141"/>
      <c r="Z554" s="187"/>
      <c r="AA554" s="187"/>
    </row>
    <row r="555" spans="1:27" s="186" customFormat="1" ht="15" customHeight="1">
      <c r="A555" s="215"/>
      <c r="B555" s="213" t="s">
        <v>417</v>
      </c>
      <c r="C555" s="298">
        <f t="shared" si="86"/>
        <v>0</v>
      </c>
      <c r="D555" s="630">
        <f t="shared" si="90"/>
        <v>0</v>
      </c>
      <c r="E555" s="629">
        <f t="shared" si="90"/>
        <v>0</v>
      </c>
      <c r="F555" s="629">
        <f t="shared" si="90"/>
        <v>0</v>
      </c>
      <c r="G555" s="629">
        <f t="shared" si="90"/>
        <v>0</v>
      </c>
      <c r="H555" s="629">
        <f t="shared" si="90"/>
        <v>0</v>
      </c>
      <c r="I555" s="630">
        <f t="shared" si="91"/>
        <v>0</v>
      </c>
      <c r="J555" s="196"/>
      <c r="K555" s="232" t="e">
        <f t="shared" si="84"/>
        <v>#DIV/0!</v>
      </c>
      <c r="L555" s="232"/>
      <c r="M555" s="232"/>
      <c r="N555" s="195"/>
      <c r="O555" s="615">
        <f t="shared" si="92"/>
        <v>360</v>
      </c>
      <c r="P555" s="195" t="e">
        <f t="shared" si="88"/>
        <v>#DIV/0!</v>
      </c>
      <c r="Q555" s="195"/>
      <c r="R555" s="195"/>
      <c r="S555" s="327" t="e">
        <f t="shared" si="85"/>
        <v>#DIV/0!</v>
      </c>
      <c r="T555" s="327" t="e">
        <f t="shared" si="89"/>
        <v>#DIV/0!</v>
      </c>
      <c r="U555" s="195"/>
      <c r="V555" s="197"/>
      <c r="W555" s="185"/>
      <c r="X555" s="141"/>
      <c r="Z555" s="187"/>
      <c r="AA555" s="187"/>
    </row>
    <row r="556" spans="1:27" s="186" customFormat="1" ht="15" customHeight="1">
      <c r="A556" s="215"/>
      <c r="B556" s="213" t="s">
        <v>418</v>
      </c>
      <c r="C556" s="298">
        <f t="shared" si="86"/>
        <v>0</v>
      </c>
      <c r="D556" s="630">
        <f t="shared" si="90"/>
        <v>0</v>
      </c>
      <c r="E556" s="629">
        <f t="shared" si="90"/>
        <v>0</v>
      </c>
      <c r="F556" s="629">
        <f t="shared" si="90"/>
        <v>0</v>
      </c>
      <c r="G556" s="629">
        <f t="shared" si="90"/>
        <v>0</v>
      </c>
      <c r="H556" s="629">
        <f t="shared" si="90"/>
        <v>0</v>
      </c>
      <c r="I556" s="630">
        <f t="shared" si="91"/>
        <v>0</v>
      </c>
      <c r="J556" s="196"/>
      <c r="K556" s="232" t="e">
        <f t="shared" si="84"/>
        <v>#DIV/0!</v>
      </c>
      <c r="L556" s="232"/>
      <c r="M556" s="232"/>
      <c r="N556" s="195"/>
      <c r="O556" s="615">
        <f t="shared" si="92"/>
        <v>360</v>
      </c>
      <c r="P556" s="195" t="e">
        <f t="shared" si="88"/>
        <v>#DIV/0!</v>
      </c>
      <c r="Q556" s="195"/>
      <c r="R556" s="195"/>
      <c r="S556" s="327" t="e">
        <f t="shared" si="85"/>
        <v>#DIV/0!</v>
      </c>
      <c r="T556" s="327" t="e">
        <f t="shared" si="89"/>
        <v>#DIV/0!</v>
      </c>
      <c r="U556" s="195"/>
      <c r="V556" s="197"/>
      <c r="W556" s="185"/>
      <c r="X556" s="141"/>
      <c r="Z556" s="187"/>
      <c r="AA556" s="187"/>
    </row>
    <row r="557" spans="1:27" s="186" customFormat="1" ht="15" customHeight="1">
      <c r="A557" s="215"/>
      <c r="B557" s="213" t="s">
        <v>419</v>
      </c>
      <c r="C557" s="298">
        <f t="shared" si="86"/>
        <v>0</v>
      </c>
      <c r="D557" s="630">
        <f t="shared" si="90"/>
        <v>0</v>
      </c>
      <c r="E557" s="629">
        <f t="shared" si="90"/>
        <v>0</v>
      </c>
      <c r="F557" s="629">
        <f t="shared" si="90"/>
        <v>0</v>
      </c>
      <c r="G557" s="629">
        <f t="shared" si="90"/>
        <v>0</v>
      </c>
      <c r="H557" s="629">
        <f t="shared" si="90"/>
        <v>0</v>
      </c>
      <c r="I557" s="630">
        <f t="shared" si="91"/>
        <v>0</v>
      </c>
      <c r="J557" s="196"/>
      <c r="K557" s="232" t="e">
        <f t="shared" si="84"/>
        <v>#DIV/0!</v>
      </c>
      <c r="L557" s="232"/>
      <c r="M557" s="232"/>
      <c r="N557" s="195"/>
      <c r="O557" s="615">
        <f t="shared" si="92"/>
        <v>360</v>
      </c>
      <c r="P557" s="195" t="e">
        <f t="shared" si="88"/>
        <v>#DIV/0!</v>
      </c>
      <c r="Q557" s="195"/>
      <c r="R557" s="195"/>
      <c r="S557" s="327" t="e">
        <f t="shared" si="85"/>
        <v>#DIV/0!</v>
      </c>
      <c r="T557" s="327" t="e">
        <f t="shared" si="89"/>
        <v>#DIV/0!</v>
      </c>
      <c r="U557" s="195"/>
      <c r="V557" s="197"/>
      <c r="W557" s="185"/>
      <c r="X557" s="141"/>
      <c r="Z557" s="187"/>
      <c r="AA557" s="187"/>
    </row>
    <row r="558" spans="1:27" s="186" customFormat="1" ht="15" customHeight="1">
      <c r="A558" s="215"/>
      <c r="B558" s="213" t="s">
        <v>420</v>
      </c>
      <c r="C558" s="298">
        <f t="shared" si="86"/>
        <v>0</v>
      </c>
      <c r="D558" s="630">
        <f t="shared" si="90"/>
        <v>0</v>
      </c>
      <c r="E558" s="629">
        <f t="shared" si="90"/>
        <v>0</v>
      </c>
      <c r="F558" s="629">
        <f t="shared" si="90"/>
        <v>0</v>
      </c>
      <c r="G558" s="629">
        <f t="shared" si="90"/>
        <v>0</v>
      </c>
      <c r="H558" s="629">
        <f t="shared" si="90"/>
        <v>0</v>
      </c>
      <c r="I558" s="630">
        <f t="shared" si="91"/>
        <v>0</v>
      </c>
      <c r="J558" s="196"/>
      <c r="K558" s="232" t="e">
        <f t="shared" si="84"/>
        <v>#DIV/0!</v>
      </c>
      <c r="L558" s="232"/>
      <c r="M558" s="232"/>
      <c r="N558" s="195"/>
      <c r="O558" s="615">
        <f t="shared" si="92"/>
        <v>360</v>
      </c>
      <c r="P558" s="195" t="e">
        <f t="shared" si="88"/>
        <v>#DIV/0!</v>
      </c>
      <c r="Q558" s="195"/>
      <c r="R558" s="195"/>
      <c r="S558" s="327" t="e">
        <f t="shared" si="85"/>
        <v>#DIV/0!</v>
      </c>
      <c r="T558" s="327" t="e">
        <f t="shared" si="89"/>
        <v>#DIV/0!</v>
      </c>
      <c r="U558" s="195"/>
      <c r="V558" s="197"/>
      <c r="W558" s="185"/>
      <c r="X558" s="141"/>
      <c r="Z558" s="187"/>
      <c r="AA558" s="187"/>
    </row>
    <row r="559" spans="1:27" s="186" customFormat="1" ht="15" customHeight="1">
      <c r="A559" s="215"/>
      <c r="B559" s="213" t="s">
        <v>990</v>
      </c>
      <c r="C559" s="298">
        <f t="shared" si="86"/>
        <v>0</v>
      </c>
      <c r="D559" s="630">
        <f t="shared" si="90"/>
        <v>0</v>
      </c>
      <c r="E559" s="629">
        <f t="shared" si="90"/>
        <v>0</v>
      </c>
      <c r="F559" s="629">
        <f t="shared" si="90"/>
        <v>0</v>
      </c>
      <c r="G559" s="629">
        <f t="shared" si="90"/>
        <v>0</v>
      </c>
      <c r="H559" s="629">
        <f t="shared" si="90"/>
        <v>0</v>
      </c>
      <c r="I559" s="630">
        <f t="shared" si="91"/>
        <v>0</v>
      </c>
      <c r="J559" s="196"/>
      <c r="K559" s="232" t="e">
        <f t="shared" si="84"/>
        <v>#DIV/0!</v>
      </c>
      <c r="L559" s="232"/>
      <c r="M559" s="232"/>
      <c r="N559" s="195"/>
      <c r="O559" s="615">
        <f t="shared" si="92"/>
        <v>360</v>
      </c>
      <c r="P559" s="195" t="e">
        <f t="shared" si="88"/>
        <v>#DIV/0!</v>
      </c>
      <c r="Q559" s="195"/>
      <c r="R559" s="195"/>
      <c r="S559" s="327" t="e">
        <f t="shared" si="85"/>
        <v>#DIV/0!</v>
      </c>
      <c r="T559" s="327" t="e">
        <f t="shared" si="89"/>
        <v>#DIV/0!</v>
      </c>
      <c r="U559" s="195"/>
      <c r="V559" s="197"/>
      <c r="W559" s="185"/>
      <c r="X559" s="141"/>
      <c r="Z559" s="187"/>
      <c r="AA559" s="187"/>
    </row>
    <row r="560" spans="1:27" s="186" customFormat="1" ht="15" customHeight="1">
      <c r="A560" s="215"/>
      <c r="B560" s="213" t="s">
        <v>991</v>
      </c>
      <c r="C560" s="298">
        <f t="shared" si="86"/>
        <v>0</v>
      </c>
      <c r="D560" s="630">
        <f t="shared" si="90"/>
        <v>0</v>
      </c>
      <c r="E560" s="629">
        <f t="shared" si="90"/>
        <v>0</v>
      </c>
      <c r="F560" s="629">
        <f t="shared" si="90"/>
        <v>0</v>
      </c>
      <c r="G560" s="629">
        <f t="shared" si="90"/>
        <v>0</v>
      </c>
      <c r="H560" s="629">
        <f t="shared" si="90"/>
        <v>0</v>
      </c>
      <c r="I560" s="630">
        <f t="shared" si="91"/>
        <v>0</v>
      </c>
      <c r="J560" s="196"/>
      <c r="K560" s="232" t="e">
        <f t="shared" si="84"/>
        <v>#DIV/0!</v>
      </c>
      <c r="L560" s="232"/>
      <c r="M560" s="232"/>
      <c r="N560" s="195"/>
      <c r="O560" s="615">
        <f t="shared" si="92"/>
        <v>360</v>
      </c>
      <c r="P560" s="195" t="e">
        <f t="shared" si="88"/>
        <v>#DIV/0!</v>
      </c>
      <c r="Q560" s="195"/>
      <c r="R560" s="195"/>
      <c r="S560" s="327" t="e">
        <f t="shared" si="85"/>
        <v>#DIV/0!</v>
      </c>
      <c r="T560" s="327" t="e">
        <f t="shared" si="89"/>
        <v>#DIV/0!</v>
      </c>
      <c r="U560" s="195"/>
      <c r="V560" s="197"/>
      <c r="W560" s="185"/>
      <c r="X560" s="141"/>
      <c r="Z560" s="187"/>
      <c r="AA560" s="187"/>
    </row>
    <row r="561" spans="1:27" s="186" customFormat="1" ht="15" customHeight="1">
      <c r="A561" s="215"/>
      <c r="B561" s="213" t="s">
        <v>992</v>
      </c>
      <c r="C561" s="298">
        <f t="shared" si="86"/>
        <v>0</v>
      </c>
      <c r="D561" s="630">
        <f t="shared" si="90"/>
        <v>0</v>
      </c>
      <c r="E561" s="629">
        <f t="shared" si="90"/>
        <v>0</v>
      </c>
      <c r="F561" s="629">
        <f t="shared" si="90"/>
        <v>0</v>
      </c>
      <c r="G561" s="629">
        <f t="shared" si="90"/>
        <v>0</v>
      </c>
      <c r="H561" s="629">
        <f t="shared" si="90"/>
        <v>0</v>
      </c>
      <c r="I561" s="630">
        <f t="shared" si="91"/>
        <v>0</v>
      </c>
      <c r="J561" s="196"/>
      <c r="K561" s="232" t="e">
        <f t="shared" ref="K561:K578" si="93">C561*PI()/(E561+I561)</f>
        <v>#DIV/0!</v>
      </c>
      <c r="L561" s="232"/>
      <c r="M561" s="232"/>
      <c r="N561" s="195"/>
      <c r="O561" s="615">
        <f t="shared" si="92"/>
        <v>360</v>
      </c>
      <c r="P561" s="195" t="e">
        <f t="shared" si="88"/>
        <v>#DIV/0!</v>
      </c>
      <c r="Q561" s="195"/>
      <c r="R561" s="195"/>
      <c r="S561" s="327" t="e">
        <f t="shared" ref="S561:S578" si="94">((E561+I561)*K561)-C561*PI()</f>
        <v>#DIV/0!</v>
      </c>
      <c r="T561" s="327" t="e">
        <f t="shared" ref="T561:T578" si="95">(((F561+I561)*K561)-(C561-(H561*2))*PI())/K561</f>
        <v>#DIV/0!</v>
      </c>
      <c r="U561" s="195"/>
      <c r="V561" s="197"/>
      <c r="W561" s="185"/>
      <c r="X561" s="141"/>
      <c r="Z561" s="187"/>
      <c r="AA561" s="187"/>
    </row>
    <row r="562" spans="1:27" s="186" customFormat="1" ht="15" customHeight="1">
      <c r="A562" s="215"/>
      <c r="B562" s="213" t="s">
        <v>993</v>
      </c>
      <c r="C562" s="298">
        <f t="shared" ref="C562:C578" si="96">C561+2*SIN(RADIANS(D562))*(G562+I562)</f>
        <v>0</v>
      </c>
      <c r="D562" s="630">
        <f t="shared" si="90"/>
        <v>0</v>
      </c>
      <c r="E562" s="629">
        <f t="shared" si="90"/>
        <v>0</v>
      </c>
      <c r="F562" s="629">
        <f t="shared" si="90"/>
        <v>0</v>
      </c>
      <c r="G562" s="629">
        <f t="shared" si="90"/>
        <v>0</v>
      </c>
      <c r="H562" s="629">
        <f t="shared" si="90"/>
        <v>0</v>
      </c>
      <c r="I562" s="630">
        <f t="shared" si="91"/>
        <v>0</v>
      </c>
      <c r="J562" s="196"/>
      <c r="K562" s="232" t="e">
        <f t="shared" si="93"/>
        <v>#DIV/0!</v>
      </c>
      <c r="L562" s="232"/>
      <c r="M562" s="232"/>
      <c r="N562" s="195"/>
      <c r="O562" s="615">
        <f t="shared" si="92"/>
        <v>360</v>
      </c>
      <c r="P562" s="195" t="e">
        <f t="shared" si="88"/>
        <v>#DIV/0!</v>
      </c>
      <c r="Q562" s="195"/>
      <c r="R562" s="195"/>
      <c r="S562" s="327" t="e">
        <f t="shared" si="94"/>
        <v>#DIV/0!</v>
      </c>
      <c r="T562" s="327" t="e">
        <f t="shared" si="95"/>
        <v>#DIV/0!</v>
      </c>
      <c r="U562" s="195"/>
      <c r="V562" s="197"/>
      <c r="W562" s="185"/>
      <c r="X562" s="141"/>
      <c r="Z562" s="187"/>
      <c r="AA562" s="187"/>
    </row>
    <row r="563" spans="1:27" s="186" customFormat="1" ht="15" customHeight="1">
      <c r="A563" s="215"/>
      <c r="B563" s="213" t="s">
        <v>994</v>
      </c>
      <c r="C563" s="298">
        <f t="shared" si="96"/>
        <v>0</v>
      </c>
      <c r="D563" s="630">
        <f t="shared" si="90"/>
        <v>0</v>
      </c>
      <c r="E563" s="629">
        <f t="shared" si="90"/>
        <v>0</v>
      </c>
      <c r="F563" s="629">
        <f t="shared" si="90"/>
        <v>0</v>
      </c>
      <c r="G563" s="629">
        <f t="shared" si="90"/>
        <v>0</v>
      </c>
      <c r="H563" s="629">
        <f t="shared" si="90"/>
        <v>0</v>
      </c>
      <c r="I563" s="630">
        <f t="shared" si="91"/>
        <v>0</v>
      </c>
      <c r="J563" s="196"/>
      <c r="K563" s="232" t="e">
        <f t="shared" si="93"/>
        <v>#DIV/0!</v>
      </c>
      <c r="L563" s="232"/>
      <c r="M563" s="232"/>
      <c r="N563" s="195"/>
      <c r="O563" s="615">
        <f t="shared" si="92"/>
        <v>360</v>
      </c>
      <c r="P563" s="195" t="e">
        <f t="shared" si="88"/>
        <v>#DIV/0!</v>
      </c>
      <c r="Q563" s="195"/>
      <c r="R563" s="195"/>
      <c r="S563" s="327" t="e">
        <f t="shared" si="94"/>
        <v>#DIV/0!</v>
      </c>
      <c r="T563" s="327" t="e">
        <f t="shared" si="95"/>
        <v>#DIV/0!</v>
      </c>
      <c r="U563" s="195"/>
      <c r="V563" s="197"/>
      <c r="W563" s="185"/>
      <c r="X563" s="141"/>
      <c r="Z563" s="187"/>
      <c r="AA563" s="187"/>
    </row>
    <row r="564" spans="1:27" s="186" customFormat="1" ht="15" customHeight="1">
      <c r="A564" s="215"/>
      <c r="B564" s="213" t="s">
        <v>995</v>
      </c>
      <c r="C564" s="298">
        <f t="shared" si="96"/>
        <v>0</v>
      </c>
      <c r="D564" s="630">
        <f t="shared" si="90"/>
        <v>0</v>
      </c>
      <c r="E564" s="629">
        <f t="shared" si="90"/>
        <v>0</v>
      </c>
      <c r="F564" s="629">
        <f t="shared" si="90"/>
        <v>0</v>
      </c>
      <c r="G564" s="629">
        <f t="shared" si="90"/>
        <v>0</v>
      </c>
      <c r="H564" s="629">
        <f t="shared" si="90"/>
        <v>0</v>
      </c>
      <c r="I564" s="630">
        <f t="shared" si="91"/>
        <v>0</v>
      </c>
      <c r="J564" s="196"/>
      <c r="K564" s="232" t="e">
        <f t="shared" si="93"/>
        <v>#DIV/0!</v>
      </c>
      <c r="L564" s="232"/>
      <c r="M564" s="232"/>
      <c r="N564" s="195"/>
      <c r="O564" s="615">
        <f t="shared" si="92"/>
        <v>360</v>
      </c>
      <c r="P564" s="195" t="e">
        <f t="shared" si="88"/>
        <v>#DIV/0!</v>
      </c>
      <c r="Q564" s="195"/>
      <c r="R564" s="195"/>
      <c r="S564" s="327" t="e">
        <f t="shared" si="94"/>
        <v>#DIV/0!</v>
      </c>
      <c r="T564" s="327" t="e">
        <f t="shared" si="95"/>
        <v>#DIV/0!</v>
      </c>
      <c r="U564" s="195"/>
      <c r="V564" s="197"/>
      <c r="W564" s="185"/>
      <c r="X564" s="141"/>
      <c r="Z564" s="187"/>
      <c r="AA564" s="187"/>
    </row>
    <row r="565" spans="1:27" s="186" customFormat="1" ht="15" customHeight="1">
      <c r="A565" s="215"/>
      <c r="B565" s="213" t="s">
        <v>996</v>
      </c>
      <c r="C565" s="298">
        <f t="shared" si="96"/>
        <v>0</v>
      </c>
      <c r="D565" s="630">
        <f t="shared" si="90"/>
        <v>0</v>
      </c>
      <c r="E565" s="629">
        <f t="shared" si="90"/>
        <v>0</v>
      </c>
      <c r="F565" s="629">
        <f t="shared" si="90"/>
        <v>0</v>
      </c>
      <c r="G565" s="629">
        <f t="shared" si="90"/>
        <v>0</v>
      </c>
      <c r="H565" s="629">
        <f t="shared" si="90"/>
        <v>0</v>
      </c>
      <c r="I565" s="630">
        <f t="shared" si="91"/>
        <v>0</v>
      </c>
      <c r="J565" s="196"/>
      <c r="K565" s="232" t="e">
        <f t="shared" si="93"/>
        <v>#DIV/0!</v>
      </c>
      <c r="L565" s="232"/>
      <c r="M565" s="232"/>
      <c r="N565" s="195"/>
      <c r="O565" s="615">
        <f t="shared" si="92"/>
        <v>360</v>
      </c>
      <c r="P565" s="195" t="e">
        <f t="shared" si="88"/>
        <v>#DIV/0!</v>
      </c>
      <c r="Q565" s="195"/>
      <c r="R565" s="195"/>
      <c r="S565" s="327" t="e">
        <f t="shared" si="94"/>
        <v>#DIV/0!</v>
      </c>
      <c r="T565" s="327" t="e">
        <f t="shared" si="95"/>
        <v>#DIV/0!</v>
      </c>
      <c r="U565" s="195"/>
      <c r="V565" s="197"/>
      <c r="W565" s="185"/>
      <c r="X565" s="141"/>
      <c r="Z565" s="187"/>
      <c r="AA565" s="187"/>
    </row>
    <row r="566" spans="1:27" s="186" customFormat="1" ht="15" customHeight="1">
      <c r="A566" s="215"/>
      <c r="B566" s="213" t="s">
        <v>997</v>
      </c>
      <c r="C566" s="298">
        <f t="shared" si="96"/>
        <v>0</v>
      </c>
      <c r="D566" s="630">
        <f t="shared" si="90"/>
        <v>0</v>
      </c>
      <c r="E566" s="629">
        <f t="shared" si="90"/>
        <v>0</v>
      </c>
      <c r="F566" s="629">
        <f t="shared" si="90"/>
        <v>0</v>
      </c>
      <c r="G566" s="629">
        <f t="shared" si="90"/>
        <v>0</v>
      </c>
      <c r="H566" s="629">
        <f t="shared" si="90"/>
        <v>0</v>
      </c>
      <c r="I566" s="630">
        <f t="shared" si="91"/>
        <v>0</v>
      </c>
      <c r="J566" s="196"/>
      <c r="K566" s="232" t="e">
        <f t="shared" si="93"/>
        <v>#DIV/0!</v>
      </c>
      <c r="L566" s="232"/>
      <c r="M566" s="232"/>
      <c r="N566" s="195"/>
      <c r="O566" s="615">
        <f t="shared" si="92"/>
        <v>360</v>
      </c>
      <c r="P566" s="195" t="e">
        <f t="shared" si="88"/>
        <v>#DIV/0!</v>
      </c>
      <c r="Q566" s="195"/>
      <c r="R566" s="195"/>
      <c r="S566" s="327" t="e">
        <f t="shared" si="94"/>
        <v>#DIV/0!</v>
      </c>
      <c r="T566" s="327" t="e">
        <f t="shared" si="95"/>
        <v>#DIV/0!</v>
      </c>
      <c r="U566" s="195"/>
      <c r="V566" s="197"/>
      <c r="W566" s="185"/>
      <c r="X566" s="141"/>
      <c r="Z566" s="187"/>
      <c r="AA566" s="187"/>
    </row>
    <row r="567" spans="1:27" s="186" customFormat="1" ht="15" customHeight="1">
      <c r="A567" s="215"/>
      <c r="B567" s="213" t="s">
        <v>998</v>
      </c>
      <c r="C567" s="298">
        <f t="shared" si="96"/>
        <v>0</v>
      </c>
      <c r="D567" s="630">
        <f t="shared" si="90"/>
        <v>0</v>
      </c>
      <c r="E567" s="629">
        <f t="shared" si="90"/>
        <v>0</v>
      </c>
      <c r="F567" s="629">
        <f t="shared" si="90"/>
        <v>0</v>
      </c>
      <c r="G567" s="629">
        <f t="shared" si="90"/>
        <v>0</v>
      </c>
      <c r="H567" s="629">
        <f t="shared" si="90"/>
        <v>0</v>
      </c>
      <c r="I567" s="630">
        <f t="shared" si="91"/>
        <v>0</v>
      </c>
      <c r="J567" s="196"/>
      <c r="K567" s="232" t="e">
        <f t="shared" si="93"/>
        <v>#DIV/0!</v>
      </c>
      <c r="L567" s="232"/>
      <c r="M567" s="232"/>
      <c r="N567" s="195"/>
      <c r="O567" s="615">
        <f t="shared" si="92"/>
        <v>360</v>
      </c>
      <c r="P567" s="195" t="e">
        <f t="shared" si="88"/>
        <v>#DIV/0!</v>
      </c>
      <c r="Q567" s="195"/>
      <c r="R567" s="195"/>
      <c r="S567" s="327" t="e">
        <f t="shared" si="94"/>
        <v>#DIV/0!</v>
      </c>
      <c r="T567" s="327" t="e">
        <f t="shared" si="95"/>
        <v>#DIV/0!</v>
      </c>
      <c r="U567" s="195"/>
      <c r="V567" s="197"/>
      <c r="W567" s="185"/>
      <c r="X567" s="141"/>
      <c r="Z567" s="187"/>
      <c r="AA567" s="187"/>
    </row>
    <row r="568" spans="1:27" s="186" customFormat="1" ht="15" customHeight="1">
      <c r="A568" s="215"/>
      <c r="B568" s="213" t="s">
        <v>999</v>
      </c>
      <c r="C568" s="298">
        <f t="shared" si="96"/>
        <v>0</v>
      </c>
      <c r="D568" s="630">
        <f t="shared" si="90"/>
        <v>0</v>
      </c>
      <c r="E568" s="629">
        <f t="shared" si="90"/>
        <v>0</v>
      </c>
      <c r="F568" s="629">
        <f t="shared" si="90"/>
        <v>0</v>
      </c>
      <c r="G568" s="629">
        <f t="shared" si="90"/>
        <v>0</v>
      </c>
      <c r="H568" s="629">
        <f t="shared" si="90"/>
        <v>0</v>
      </c>
      <c r="I568" s="630">
        <f t="shared" si="91"/>
        <v>0</v>
      </c>
      <c r="J568" s="196"/>
      <c r="K568" s="232" t="e">
        <f t="shared" si="93"/>
        <v>#DIV/0!</v>
      </c>
      <c r="L568" s="232"/>
      <c r="M568" s="232"/>
      <c r="N568" s="195"/>
      <c r="O568" s="615">
        <f t="shared" si="92"/>
        <v>360</v>
      </c>
      <c r="P568" s="195" t="e">
        <f t="shared" si="88"/>
        <v>#DIV/0!</v>
      </c>
      <c r="Q568" s="195"/>
      <c r="R568" s="195"/>
      <c r="S568" s="327" t="e">
        <f t="shared" si="94"/>
        <v>#DIV/0!</v>
      </c>
      <c r="T568" s="327" t="e">
        <f t="shared" si="95"/>
        <v>#DIV/0!</v>
      </c>
      <c r="U568" s="195"/>
      <c r="V568" s="197"/>
      <c r="W568" s="185"/>
      <c r="X568" s="141"/>
      <c r="Z568" s="187"/>
      <c r="AA568" s="187"/>
    </row>
    <row r="569" spans="1:27" s="186" customFormat="1" ht="15" customHeight="1">
      <c r="A569" s="215"/>
      <c r="B569" s="213" t="s">
        <v>1000</v>
      </c>
      <c r="C569" s="298">
        <f t="shared" si="96"/>
        <v>0</v>
      </c>
      <c r="D569" s="630">
        <f t="shared" si="90"/>
        <v>0</v>
      </c>
      <c r="E569" s="629">
        <f t="shared" si="90"/>
        <v>0</v>
      </c>
      <c r="F569" s="629">
        <f t="shared" si="90"/>
        <v>0</v>
      </c>
      <c r="G569" s="629">
        <f t="shared" si="90"/>
        <v>0</v>
      </c>
      <c r="H569" s="629">
        <f t="shared" si="90"/>
        <v>0</v>
      </c>
      <c r="I569" s="630">
        <f t="shared" si="91"/>
        <v>0</v>
      </c>
      <c r="J569" s="196"/>
      <c r="K569" s="232" t="e">
        <f t="shared" si="93"/>
        <v>#DIV/0!</v>
      </c>
      <c r="L569" s="232"/>
      <c r="M569" s="232"/>
      <c r="N569" s="195"/>
      <c r="O569" s="615">
        <f t="shared" si="92"/>
        <v>360</v>
      </c>
      <c r="P569" s="195" t="e">
        <f t="shared" si="88"/>
        <v>#DIV/0!</v>
      </c>
      <c r="Q569" s="195"/>
      <c r="R569" s="195"/>
      <c r="S569" s="327" t="e">
        <f t="shared" si="94"/>
        <v>#DIV/0!</v>
      </c>
      <c r="T569" s="327" t="e">
        <f t="shared" si="95"/>
        <v>#DIV/0!</v>
      </c>
      <c r="U569" s="195"/>
      <c r="V569" s="197"/>
      <c r="W569" s="185"/>
      <c r="X569" s="141"/>
      <c r="Z569" s="187"/>
      <c r="AA569" s="187"/>
    </row>
    <row r="570" spans="1:27" s="186" customFormat="1" ht="15" customHeight="1">
      <c r="A570" s="215"/>
      <c r="B570" s="213" t="s">
        <v>1001</v>
      </c>
      <c r="C570" s="298">
        <f t="shared" si="96"/>
        <v>0</v>
      </c>
      <c r="D570" s="630">
        <f t="shared" si="90"/>
        <v>0</v>
      </c>
      <c r="E570" s="629">
        <f t="shared" si="90"/>
        <v>0</v>
      </c>
      <c r="F570" s="629">
        <f t="shared" si="90"/>
        <v>0</v>
      </c>
      <c r="G570" s="629">
        <f t="shared" si="90"/>
        <v>0</v>
      </c>
      <c r="H570" s="629">
        <f t="shared" si="90"/>
        <v>0</v>
      </c>
      <c r="I570" s="630">
        <f t="shared" si="91"/>
        <v>0</v>
      </c>
      <c r="J570" s="196"/>
      <c r="K570" s="232" t="e">
        <f t="shared" si="93"/>
        <v>#DIV/0!</v>
      </c>
      <c r="L570" s="232"/>
      <c r="M570" s="232"/>
      <c r="N570" s="195"/>
      <c r="O570" s="615">
        <f t="shared" si="92"/>
        <v>360</v>
      </c>
      <c r="P570" s="195" t="e">
        <f t="shared" si="88"/>
        <v>#DIV/0!</v>
      </c>
      <c r="Q570" s="195"/>
      <c r="R570" s="195"/>
      <c r="S570" s="327" t="e">
        <f t="shared" si="94"/>
        <v>#DIV/0!</v>
      </c>
      <c r="T570" s="327" t="e">
        <f t="shared" si="95"/>
        <v>#DIV/0!</v>
      </c>
      <c r="U570" s="195"/>
      <c r="V570" s="197"/>
      <c r="W570" s="185"/>
      <c r="X570" s="141"/>
      <c r="Z570" s="187"/>
      <c r="AA570" s="187"/>
    </row>
    <row r="571" spans="1:27" s="186" customFormat="1" ht="15" customHeight="1">
      <c r="A571" s="215"/>
      <c r="B571" s="213" t="s">
        <v>1002</v>
      </c>
      <c r="C571" s="298">
        <f t="shared" si="96"/>
        <v>0</v>
      </c>
      <c r="D571" s="630">
        <f t="shared" si="90"/>
        <v>0</v>
      </c>
      <c r="E571" s="629">
        <f t="shared" si="90"/>
        <v>0</v>
      </c>
      <c r="F571" s="629">
        <f t="shared" si="90"/>
        <v>0</v>
      </c>
      <c r="G571" s="629">
        <f t="shared" si="90"/>
        <v>0</v>
      </c>
      <c r="H571" s="629">
        <f t="shared" si="90"/>
        <v>0</v>
      </c>
      <c r="I571" s="630">
        <f t="shared" si="91"/>
        <v>0</v>
      </c>
      <c r="J571" s="196"/>
      <c r="K571" s="232" t="e">
        <f t="shared" si="93"/>
        <v>#DIV/0!</v>
      </c>
      <c r="L571" s="232"/>
      <c r="M571" s="232"/>
      <c r="N571" s="195"/>
      <c r="O571" s="615">
        <f t="shared" si="92"/>
        <v>360</v>
      </c>
      <c r="P571" s="195" t="e">
        <f t="shared" si="88"/>
        <v>#DIV/0!</v>
      </c>
      <c r="Q571" s="195"/>
      <c r="R571" s="195"/>
      <c r="S571" s="327" t="e">
        <f t="shared" si="94"/>
        <v>#DIV/0!</v>
      </c>
      <c r="T571" s="327" t="e">
        <f t="shared" si="95"/>
        <v>#DIV/0!</v>
      </c>
      <c r="U571" s="195"/>
      <c r="V571" s="197"/>
      <c r="W571" s="185"/>
      <c r="X571" s="141"/>
      <c r="Z571" s="187"/>
      <c r="AA571" s="187"/>
    </row>
    <row r="572" spans="1:27" s="186" customFormat="1" ht="15" customHeight="1">
      <c r="A572" s="215"/>
      <c r="B572" s="213" t="s">
        <v>1003</v>
      </c>
      <c r="C572" s="298">
        <f t="shared" si="96"/>
        <v>0</v>
      </c>
      <c r="D572" s="630">
        <f t="shared" si="90"/>
        <v>0</v>
      </c>
      <c r="E572" s="629">
        <f t="shared" si="90"/>
        <v>0</v>
      </c>
      <c r="F572" s="629">
        <f t="shared" si="90"/>
        <v>0</v>
      </c>
      <c r="G572" s="629">
        <f t="shared" si="90"/>
        <v>0</v>
      </c>
      <c r="H572" s="629">
        <f t="shared" si="90"/>
        <v>0</v>
      </c>
      <c r="I572" s="630">
        <f t="shared" si="91"/>
        <v>0</v>
      </c>
      <c r="J572" s="196"/>
      <c r="K572" s="232" t="e">
        <f t="shared" si="93"/>
        <v>#DIV/0!</v>
      </c>
      <c r="L572" s="232"/>
      <c r="M572" s="232"/>
      <c r="N572" s="195"/>
      <c r="O572" s="615">
        <f t="shared" si="92"/>
        <v>360</v>
      </c>
      <c r="P572" s="195" t="e">
        <f t="shared" si="88"/>
        <v>#DIV/0!</v>
      </c>
      <c r="Q572" s="195"/>
      <c r="R572" s="195"/>
      <c r="S572" s="327" t="e">
        <f t="shared" si="94"/>
        <v>#DIV/0!</v>
      </c>
      <c r="T572" s="327" t="e">
        <f t="shared" si="95"/>
        <v>#DIV/0!</v>
      </c>
      <c r="U572" s="195"/>
      <c r="V572" s="197"/>
      <c r="W572" s="185"/>
      <c r="X572" s="141"/>
      <c r="Z572" s="187"/>
      <c r="AA572" s="187"/>
    </row>
    <row r="573" spans="1:27" s="186" customFormat="1" ht="15" customHeight="1">
      <c r="A573" s="215"/>
      <c r="B573" s="213" t="s">
        <v>1004</v>
      </c>
      <c r="C573" s="298">
        <f t="shared" si="96"/>
        <v>0</v>
      </c>
      <c r="D573" s="630">
        <f t="shared" si="90"/>
        <v>0</v>
      </c>
      <c r="E573" s="629">
        <f t="shared" si="90"/>
        <v>0</v>
      </c>
      <c r="F573" s="629">
        <f t="shared" si="90"/>
        <v>0</v>
      </c>
      <c r="G573" s="629">
        <f t="shared" si="90"/>
        <v>0</v>
      </c>
      <c r="H573" s="629">
        <f t="shared" si="90"/>
        <v>0</v>
      </c>
      <c r="I573" s="630">
        <f t="shared" si="91"/>
        <v>0</v>
      </c>
      <c r="J573" s="196"/>
      <c r="K573" s="232" t="e">
        <f t="shared" si="93"/>
        <v>#DIV/0!</v>
      </c>
      <c r="L573" s="232"/>
      <c r="M573" s="232"/>
      <c r="N573" s="195"/>
      <c r="O573" s="615">
        <f t="shared" si="92"/>
        <v>360</v>
      </c>
      <c r="P573" s="195" t="e">
        <f t="shared" si="88"/>
        <v>#DIV/0!</v>
      </c>
      <c r="Q573" s="195"/>
      <c r="R573" s="195"/>
      <c r="S573" s="327" t="e">
        <f t="shared" si="94"/>
        <v>#DIV/0!</v>
      </c>
      <c r="T573" s="327" t="e">
        <f t="shared" si="95"/>
        <v>#DIV/0!</v>
      </c>
      <c r="U573" s="195"/>
      <c r="V573" s="197"/>
      <c r="W573" s="185"/>
      <c r="X573" s="141"/>
      <c r="Z573" s="187"/>
      <c r="AA573" s="187"/>
    </row>
    <row r="574" spans="1:27" s="186" customFormat="1" ht="15" customHeight="1">
      <c r="A574" s="215"/>
      <c r="B574" s="213" t="s">
        <v>1005</v>
      </c>
      <c r="C574" s="298">
        <f t="shared" si="96"/>
        <v>0</v>
      </c>
      <c r="D574" s="630">
        <f t="shared" si="90"/>
        <v>0</v>
      </c>
      <c r="E574" s="629">
        <f t="shared" si="90"/>
        <v>0</v>
      </c>
      <c r="F574" s="629">
        <f t="shared" si="90"/>
        <v>0</v>
      </c>
      <c r="G574" s="629">
        <f t="shared" si="90"/>
        <v>0</v>
      </c>
      <c r="H574" s="629">
        <f t="shared" si="90"/>
        <v>0</v>
      </c>
      <c r="I574" s="630">
        <f t="shared" si="91"/>
        <v>0</v>
      </c>
      <c r="J574" s="196"/>
      <c r="K574" s="232" t="e">
        <f t="shared" si="93"/>
        <v>#DIV/0!</v>
      </c>
      <c r="L574" s="232"/>
      <c r="M574" s="232"/>
      <c r="N574" s="195"/>
      <c r="O574" s="615">
        <f t="shared" si="92"/>
        <v>360</v>
      </c>
      <c r="P574" s="195" t="e">
        <f t="shared" si="88"/>
        <v>#DIV/0!</v>
      </c>
      <c r="Q574" s="195"/>
      <c r="R574" s="195"/>
      <c r="S574" s="327" t="e">
        <f t="shared" si="94"/>
        <v>#DIV/0!</v>
      </c>
      <c r="T574" s="327" t="e">
        <f t="shared" si="95"/>
        <v>#DIV/0!</v>
      </c>
      <c r="U574" s="195"/>
      <c r="V574" s="197"/>
      <c r="W574" s="185"/>
      <c r="X574" s="141"/>
      <c r="Z574" s="187"/>
      <c r="AA574" s="187"/>
    </row>
    <row r="575" spans="1:27" s="186" customFormat="1" ht="15" customHeight="1">
      <c r="A575" s="215"/>
      <c r="B575" s="213" t="s">
        <v>1006</v>
      </c>
      <c r="C575" s="298">
        <f t="shared" si="96"/>
        <v>0</v>
      </c>
      <c r="D575" s="630">
        <f t="shared" si="90"/>
        <v>0</v>
      </c>
      <c r="E575" s="629">
        <f t="shared" si="90"/>
        <v>0</v>
      </c>
      <c r="F575" s="629">
        <f t="shared" si="90"/>
        <v>0</v>
      </c>
      <c r="G575" s="629">
        <f t="shared" si="90"/>
        <v>0</v>
      </c>
      <c r="H575" s="629">
        <f t="shared" si="90"/>
        <v>0</v>
      </c>
      <c r="I575" s="630">
        <f t="shared" si="91"/>
        <v>0</v>
      </c>
      <c r="J575" s="196"/>
      <c r="K575" s="232" t="e">
        <f t="shared" si="93"/>
        <v>#DIV/0!</v>
      </c>
      <c r="L575" s="232"/>
      <c r="M575" s="232"/>
      <c r="N575" s="195"/>
      <c r="O575" s="615">
        <f t="shared" si="92"/>
        <v>360</v>
      </c>
      <c r="P575" s="195" t="e">
        <f t="shared" si="88"/>
        <v>#DIV/0!</v>
      </c>
      <c r="Q575" s="195"/>
      <c r="R575" s="195"/>
      <c r="S575" s="327" t="e">
        <f t="shared" si="94"/>
        <v>#DIV/0!</v>
      </c>
      <c r="T575" s="327" t="e">
        <f t="shared" si="95"/>
        <v>#DIV/0!</v>
      </c>
      <c r="U575" s="195"/>
      <c r="V575" s="197"/>
      <c r="W575" s="185"/>
      <c r="X575" s="141"/>
      <c r="Z575" s="187"/>
      <c r="AA575" s="187"/>
    </row>
    <row r="576" spans="1:27" s="186" customFormat="1" ht="15" customHeight="1">
      <c r="A576" s="215"/>
      <c r="B576" s="213" t="s">
        <v>1007</v>
      </c>
      <c r="C576" s="298">
        <f t="shared" si="96"/>
        <v>0</v>
      </c>
      <c r="D576" s="630">
        <f t="shared" si="90"/>
        <v>0</v>
      </c>
      <c r="E576" s="629">
        <f t="shared" si="90"/>
        <v>0</v>
      </c>
      <c r="F576" s="629">
        <f t="shared" si="90"/>
        <v>0</v>
      </c>
      <c r="G576" s="629">
        <f t="shared" si="90"/>
        <v>0</v>
      </c>
      <c r="H576" s="629">
        <f t="shared" si="90"/>
        <v>0</v>
      </c>
      <c r="I576" s="630">
        <f t="shared" si="91"/>
        <v>0</v>
      </c>
      <c r="J576" s="196"/>
      <c r="K576" s="232" t="e">
        <f t="shared" si="93"/>
        <v>#DIV/0!</v>
      </c>
      <c r="L576" s="232"/>
      <c r="M576" s="232"/>
      <c r="N576" s="195"/>
      <c r="O576" s="615">
        <f t="shared" si="92"/>
        <v>360</v>
      </c>
      <c r="P576" s="195" t="e">
        <f t="shared" si="88"/>
        <v>#DIV/0!</v>
      </c>
      <c r="Q576" s="195"/>
      <c r="R576" s="195"/>
      <c r="S576" s="327" t="e">
        <f t="shared" si="94"/>
        <v>#DIV/0!</v>
      </c>
      <c r="T576" s="327" t="e">
        <f t="shared" si="95"/>
        <v>#DIV/0!</v>
      </c>
      <c r="U576" s="195"/>
      <c r="V576" s="197"/>
      <c r="W576" s="185"/>
      <c r="X576" s="141"/>
      <c r="Z576" s="187"/>
      <c r="AA576" s="187"/>
    </row>
    <row r="577" spans="1:27" s="186" customFormat="1" ht="15" customHeight="1">
      <c r="A577" s="215"/>
      <c r="B577" s="213" t="s">
        <v>1008</v>
      </c>
      <c r="C577" s="298">
        <f t="shared" si="96"/>
        <v>0</v>
      </c>
      <c r="D577" s="630">
        <f t="shared" si="90"/>
        <v>0</v>
      </c>
      <c r="E577" s="629">
        <f t="shared" si="90"/>
        <v>0</v>
      </c>
      <c r="F577" s="629">
        <f t="shared" si="90"/>
        <v>0</v>
      </c>
      <c r="G577" s="629">
        <f t="shared" si="90"/>
        <v>0</v>
      </c>
      <c r="H577" s="629">
        <f t="shared" si="90"/>
        <v>0</v>
      </c>
      <c r="I577" s="630">
        <f t="shared" si="91"/>
        <v>0</v>
      </c>
      <c r="J577" s="196"/>
      <c r="K577" s="232" t="e">
        <f t="shared" si="93"/>
        <v>#DIV/0!</v>
      </c>
      <c r="L577" s="232"/>
      <c r="M577" s="232"/>
      <c r="N577" s="195"/>
      <c r="O577" s="615">
        <f t="shared" si="92"/>
        <v>360</v>
      </c>
      <c r="P577" s="195" t="e">
        <f t="shared" si="88"/>
        <v>#DIV/0!</v>
      </c>
      <c r="Q577" s="195"/>
      <c r="R577" s="195"/>
      <c r="S577" s="327" t="e">
        <f t="shared" si="94"/>
        <v>#DIV/0!</v>
      </c>
      <c r="T577" s="327" t="e">
        <f t="shared" si="95"/>
        <v>#DIV/0!</v>
      </c>
      <c r="U577" s="195"/>
      <c r="V577" s="197"/>
      <c r="W577" s="185"/>
      <c r="X577" s="141"/>
      <c r="Z577" s="187"/>
      <c r="AA577" s="187"/>
    </row>
    <row r="578" spans="1:27" s="186" customFormat="1" ht="15" customHeight="1" thickBot="1">
      <c r="A578" s="215"/>
      <c r="B578" s="213" t="s">
        <v>1009</v>
      </c>
      <c r="C578" s="298">
        <f t="shared" si="96"/>
        <v>0</v>
      </c>
      <c r="D578" s="630">
        <f t="shared" si="90"/>
        <v>0</v>
      </c>
      <c r="E578" s="629">
        <f t="shared" si="90"/>
        <v>0</v>
      </c>
      <c r="F578" s="629">
        <f t="shared" si="90"/>
        <v>0</v>
      </c>
      <c r="G578" s="629">
        <f t="shared" si="90"/>
        <v>0</v>
      </c>
      <c r="H578" s="629">
        <f t="shared" si="90"/>
        <v>0</v>
      </c>
      <c r="I578" s="630">
        <f t="shared" si="91"/>
        <v>0</v>
      </c>
      <c r="J578" s="196"/>
      <c r="K578" s="232" t="e">
        <f t="shared" si="93"/>
        <v>#DIV/0!</v>
      </c>
      <c r="L578" s="232"/>
      <c r="M578" s="232"/>
      <c r="N578" s="195"/>
      <c r="O578" s="616">
        <f t="shared" si="92"/>
        <v>360</v>
      </c>
      <c r="P578" s="195" t="e">
        <f>ROUNDUP(K578/360*O578,0)</f>
        <v>#DIV/0!</v>
      </c>
      <c r="Q578" s="195"/>
      <c r="R578" s="195"/>
      <c r="S578" s="327" t="e">
        <f t="shared" si="94"/>
        <v>#DIV/0!</v>
      </c>
      <c r="T578" s="327" t="e">
        <f t="shared" si="95"/>
        <v>#DIV/0!</v>
      </c>
      <c r="U578" s="195"/>
      <c r="V578" s="197"/>
      <c r="W578" s="185"/>
      <c r="X578" s="141"/>
      <c r="Z578" s="187"/>
      <c r="AA578" s="187"/>
    </row>
    <row r="579" spans="1:27" s="186" customFormat="1" ht="15" customHeight="1">
      <c r="A579" s="215"/>
      <c r="B579" s="210"/>
      <c r="C579" s="298"/>
      <c r="D579" s="195"/>
      <c r="E579" s="135"/>
      <c r="F579" s="135"/>
      <c r="G579" s="135"/>
      <c r="H579" s="135"/>
      <c r="I579" s="232"/>
      <c r="J579" s="232"/>
      <c r="K579" s="232"/>
      <c r="L579" s="232"/>
      <c r="M579" s="232"/>
      <c r="N579" s="195"/>
      <c r="O579" s="144"/>
      <c r="P579" s="195"/>
      <c r="Q579" s="195"/>
      <c r="R579" s="195"/>
      <c r="S579" s="195"/>
      <c r="T579" s="195"/>
      <c r="U579" s="195"/>
      <c r="V579" s="197"/>
      <c r="W579" s="185"/>
      <c r="X579" s="141"/>
      <c r="Z579" s="187"/>
      <c r="AA579" s="187"/>
    </row>
    <row r="580" spans="1:27" s="186" customFormat="1" ht="15" customHeight="1" thickBot="1">
      <c r="A580" s="215"/>
      <c r="B580" s="279" t="s">
        <v>1010</v>
      </c>
      <c r="C580" s="280"/>
      <c r="D580" s="281"/>
      <c r="E580" s="281"/>
      <c r="F580" s="281"/>
      <c r="G580" s="281"/>
      <c r="H580" s="281"/>
      <c r="I580" s="281"/>
      <c r="J580" s="282"/>
      <c r="K580" s="282"/>
      <c r="L580" s="283"/>
      <c r="M580" s="281"/>
      <c r="N580" s="281"/>
      <c r="O580" s="281"/>
      <c r="P580" s="281"/>
      <c r="Q580" s="281"/>
      <c r="R580" s="281"/>
      <c r="S580" s="284"/>
      <c r="T580" s="281"/>
      <c r="U580" s="281" t="s">
        <v>678</v>
      </c>
      <c r="V580" s="285" t="s">
        <v>27</v>
      </c>
      <c r="W580" s="286"/>
      <c r="X580" s="287"/>
      <c r="Z580" s="187"/>
      <c r="AA580" s="187"/>
    </row>
    <row r="581" spans="1:27" s="186" customFormat="1" ht="15" customHeight="1" thickBot="1">
      <c r="A581" s="215"/>
      <c r="B581" s="210"/>
      <c r="C581" s="133">
        <f>SUMIF(Densidades!A:A,'Memória TOTAL'!X581,Densidades!B:B)</f>
        <v>0</v>
      </c>
      <c r="D581" s="134">
        <f>SUMIF(Densidades!A:A,'Memória TOTAL'!X581,Densidades!C:C)</f>
        <v>0</v>
      </c>
      <c r="E581" s="134" t="str">
        <f>IF(I581=15,"FIRECLAY MORTAR",IF(I581=16,"ALUMINA MORTAR",IF(I581=17,"BASIC MORTAR",IF(I581=18,"MORTAR","-"))))</f>
        <v>-</v>
      </c>
      <c r="F581" s="134" t="str">
        <f>IF(I581=15,"FIRECLAY MORTAR",IF(I581=16,"ALUMINA MORTAR",IF(I581=17,"BASIC MORTAR",IF(I581=18,"MORTAR","-"))))</f>
        <v>-</v>
      </c>
      <c r="G581" s="134" t="str">
        <f>IF(I581=15,"FIRECLAY MORTAR",IF(I581=16,"ALUMINA MORTAR",IF(I581=17,"BASIC MORTAR",IF(I581=18,"MORTAR","-"))))</f>
        <v>-</v>
      </c>
      <c r="H581" s="134" t="str">
        <f>IF(I581=15,"FIRECLAY MORTAR",IF(I581=16,"ALUMINA MORTAR",IF(I581=17,"BASIC MORTAR",IF(I581=18,"MORTAR","-"))))</f>
        <v>-</v>
      </c>
      <c r="I581" s="134">
        <f>SUMIF(Densidades!A:A,'Memória TOTAL'!X581,Densidades!G:G)</f>
        <v>0</v>
      </c>
      <c r="J581" s="136">
        <f>SUMIF(Formatos!A:A,'Memória TOTAL'!X582,Formatos!G:G)</f>
        <v>0</v>
      </c>
      <c r="K581" s="137">
        <f>SUMIF(Densidades!A:A,'Memória TOTAL'!X581,Densidades!I:I)</f>
        <v>0</v>
      </c>
      <c r="L581" s="188">
        <v>0</v>
      </c>
      <c r="M581" s="189"/>
      <c r="N581" s="189"/>
      <c r="O581" s="189"/>
      <c r="P581" s="189"/>
      <c r="Q581" s="189"/>
      <c r="R581" s="189"/>
      <c r="S581" s="189"/>
      <c r="T581" s="190"/>
      <c r="U581" s="290">
        <v>0.06</v>
      </c>
      <c r="V581" s="192" t="e">
        <f>(W518*J518*C581+W522*J522*C581)*U581</f>
        <v>#VALUE!</v>
      </c>
      <c r="W581" s="193" t="str">
        <f>IF(C581=0,"",ROUNDUP(SUM(V581:V582)*(1+L581)/D581,2)*D581)</f>
        <v/>
      </c>
      <c r="X581" s="263"/>
      <c r="Z581" s="187"/>
      <c r="AA581" s="187"/>
    </row>
    <row r="582" spans="1:27" s="186" customFormat="1" ht="15" customHeight="1">
      <c r="A582" s="215"/>
      <c r="B582" s="210"/>
      <c r="C582" s="133"/>
      <c r="D582" s="195"/>
      <c r="E582" s="195"/>
      <c r="F582" s="195"/>
      <c r="G582" s="195"/>
      <c r="H582" s="195"/>
      <c r="I582" s="195"/>
      <c r="J582" s="196"/>
      <c r="K582" s="196"/>
      <c r="L582" s="144"/>
      <c r="M582" s="195"/>
      <c r="N582" s="195"/>
      <c r="O582" s="195"/>
      <c r="P582" s="195"/>
      <c r="Q582" s="195"/>
      <c r="R582" s="195"/>
      <c r="S582" s="195"/>
      <c r="T582" s="195"/>
      <c r="U582" s="195"/>
      <c r="V582" s="197"/>
      <c r="W582" s="185"/>
      <c r="X582" s="141" t="str">
        <f>IF(AND(H581="-",G581="-",F581="-"),E581,IF(AND(H581="-",G581="-",E581="-"),F581,IF(AND(H581="-",F581="-",E581="-"),G581,H581)))</f>
        <v>-</v>
      </c>
      <c r="Z582" s="187"/>
      <c r="AA582" s="187"/>
    </row>
    <row r="583" spans="1:27" s="186" customFormat="1" ht="15" customHeight="1">
      <c r="A583" s="215"/>
      <c r="B583" s="213"/>
      <c r="C583" s="133"/>
      <c r="D583" s="195"/>
      <c r="E583" s="195"/>
      <c r="F583" s="195"/>
      <c r="G583" s="195"/>
      <c r="H583" s="195"/>
      <c r="I583" s="195"/>
      <c r="J583" s="196"/>
      <c r="K583" s="196"/>
      <c r="L583" s="144"/>
      <c r="M583" s="195"/>
      <c r="N583" s="195"/>
      <c r="O583" s="195"/>
      <c r="P583" s="195"/>
      <c r="Q583" s="195"/>
      <c r="R583" s="195"/>
      <c r="S583" s="195"/>
      <c r="T583" s="195"/>
      <c r="U583" s="195"/>
      <c r="V583" s="197"/>
      <c r="W583" s="185"/>
      <c r="X583" s="141" t="s">
        <v>2</v>
      </c>
      <c r="Z583" s="187"/>
      <c r="AA583" s="187"/>
    </row>
    <row r="584" spans="1:27" ht="15" customHeight="1">
      <c r="A584" s="215"/>
      <c r="B584" s="131"/>
      <c r="C584" s="169"/>
      <c r="D584" s="170"/>
      <c r="E584" s="170"/>
      <c r="F584" s="170"/>
      <c r="G584" s="170"/>
      <c r="H584" s="170"/>
      <c r="I584" s="170"/>
      <c r="J584" s="171"/>
      <c r="K584" s="171"/>
      <c r="L584" s="172"/>
      <c r="M584" s="170"/>
      <c r="N584" s="170"/>
      <c r="O584" s="170"/>
      <c r="P584" s="170"/>
      <c r="Q584" s="170"/>
      <c r="R584" s="170"/>
      <c r="S584" s="170"/>
      <c r="T584" s="170"/>
      <c r="U584" s="170"/>
      <c r="V584" s="173"/>
      <c r="W584" s="174"/>
      <c r="X584" s="175"/>
    </row>
    <row r="585" spans="1:27" s="186" customFormat="1" ht="15" customHeight="1" thickBot="1">
      <c r="A585" s="215"/>
      <c r="B585" s="279" t="s">
        <v>1011</v>
      </c>
      <c r="C585" s="280"/>
      <c r="D585" s="281"/>
      <c r="E585" s="281"/>
      <c r="F585" s="281"/>
      <c r="G585" s="281"/>
      <c r="H585" s="281"/>
      <c r="I585" s="281"/>
      <c r="J585" s="282"/>
      <c r="K585" s="282"/>
      <c r="L585" s="283"/>
      <c r="M585" s="281"/>
      <c r="N585" s="281"/>
      <c r="O585" s="281"/>
      <c r="P585" s="281"/>
      <c r="Q585" s="281"/>
      <c r="R585" s="281" t="s">
        <v>636</v>
      </c>
      <c r="S585" s="284" t="s">
        <v>637</v>
      </c>
      <c r="T585" s="281" t="s">
        <v>638</v>
      </c>
      <c r="U585" s="281" t="s">
        <v>38</v>
      </c>
      <c r="V585" s="285" t="s">
        <v>27</v>
      </c>
      <c r="W585" s="286"/>
      <c r="X585" s="287"/>
      <c r="Z585" s="187"/>
      <c r="AA585" s="187"/>
    </row>
    <row r="586" spans="1:27" s="186" customFormat="1" ht="15" customHeight="1" thickBot="1">
      <c r="A586" s="215"/>
      <c r="B586" s="210"/>
      <c r="C586" s="133">
        <f>SUMIF(Densidades!A:A,'Memória TOTAL'!X586,Densidades!B:B)</f>
        <v>0</v>
      </c>
      <c r="D586" s="134">
        <f>SUMIF(Densidades!A:A,'Memória TOTAL'!X586,Densidades!C:C)</f>
        <v>0</v>
      </c>
      <c r="E586" s="134" t="str">
        <f>IF(I586=15,"FIRECLAY MORTAR",IF(I586=16,"ALUMINA MORTAR",IF(I586=17,"BASIC MORTAR",IF(I586=18,"MORTAR","-"))))</f>
        <v>-</v>
      </c>
      <c r="F586" s="134" t="str">
        <f>IF(I586=15,"FIRECLAY MORTAR",IF(I586=16,"ALUMINA MORTAR",IF(I586=17,"BASIC MORTAR",IF(I586=18,"MORTAR","-"))))</f>
        <v>-</v>
      </c>
      <c r="G586" s="134" t="str">
        <f>IF(I586=15,"FIRECLAY MORTAR",IF(I586=16,"ALUMINA MORTAR",IF(I586=17,"BASIC MORTAR",IF(I586=18,"MORTAR","-"))))</f>
        <v>-</v>
      </c>
      <c r="H586" s="134" t="str">
        <f>IF(I586=15,"FIRECLAY MORTAR",IF(I586=16,"ALUMINA MORTAR",IF(I586=17,"BASIC MORTAR",IF(I586=18,"MORTAR","-"))))</f>
        <v>-</v>
      </c>
      <c r="I586" s="134">
        <f>SUMIF(Densidades!A:A,'Memória TOTAL'!X586,Densidades!G:G)</f>
        <v>0</v>
      </c>
      <c r="J586" s="136">
        <f>SUMIF(Formatos!A:A,'Memória TOTAL'!X587,Formatos!G:G)</f>
        <v>0</v>
      </c>
      <c r="K586" s="222">
        <f>SUMIF(Densidades!A:A,'Memória TOTAL'!X586,Densidades!I:I)</f>
        <v>0</v>
      </c>
      <c r="L586" s="188">
        <v>0</v>
      </c>
      <c r="M586" s="189"/>
      <c r="N586" s="189"/>
      <c r="O586" s="189"/>
      <c r="P586" s="189"/>
      <c r="Q586" s="189"/>
      <c r="R586" s="190">
        <f>((G518*H518)+(G518*E518)+(H518*E518))/1000000</f>
        <v>0</v>
      </c>
      <c r="S586" s="259">
        <v>2</v>
      </c>
      <c r="T586" s="190">
        <f>R586*S586</f>
        <v>0</v>
      </c>
      <c r="U586" s="191" t="e">
        <f>SUM(W518:W523)</f>
        <v>#VALUE!</v>
      </c>
      <c r="V586" s="192" t="e">
        <f>(T586*C586*(1+L586))*U586</f>
        <v>#VALUE!</v>
      </c>
      <c r="W586" s="140" t="str">
        <f>IF(C586=0,"",ROUNDUP(SUM(V586:V587)*(1+L586)/D586,2)*D586)</f>
        <v/>
      </c>
      <c r="X586" s="263"/>
      <c r="Z586" s="187"/>
      <c r="AA586" s="187"/>
    </row>
    <row r="587" spans="1:27" s="186" customFormat="1" ht="15" customHeight="1">
      <c r="A587" s="215"/>
      <c r="B587" s="210"/>
      <c r="C587" s="133"/>
      <c r="D587" s="195"/>
      <c r="E587" s="195"/>
      <c r="F587" s="195"/>
      <c r="G587" s="195"/>
      <c r="H587" s="195"/>
      <c r="I587" s="195"/>
      <c r="J587" s="196"/>
      <c r="K587" s="196"/>
      <c r="L587" s="144"/>
      <c r="M587" s="195"/>
      <c r="N587" s="195"/>
      <c r="O587" s="195"/>
      <c r="P587" s="195"/>
      <c r="Q587" s="195"/>
      <c r="R587" s="195"/>
      <c r="S587" s="195"/>
      <c r="T587" s="195"/>
      <c r="U587" s="195"/>
      <c r="V587" s="197"/>
      <c r="W587" s="185"/>
      <c r="X587" s="141" t="str">
        <f>IF(AND(H586="-",G586="-",F586="-"),E586,IF(AND(H586="-",G586="-",E586="-"),F586,IF(AND(H586="-",F586="-",E586="-"),G586,H586)))</f>
        <v>-</v>
      </c>
      <c r="Z587" s="187"/>
      <c r="AA587" s="187"/>
    </row>
    <row r="588" spans="1:27" s="186" customFormat="1" ht="15" customHeight="1">
      <c r="A588" s="215"/>
      <c r="B588" s="213"/>
      <c r="C588" s="133"/>
      <c r="D588" s="195"/>
      <c r="E588" s="195"/>
      <c r="F588" s="195"/>
      <c r="G588" s="195"/>
      <c r="H588" s="195"/>
      <c r="I588" s="195"/>
      <c r="J588" s="196"/>
      <c r="K588" s="196"/>
      <c r="L588" s="144"/>
      <c r="M588" s="195"/>
      <c r="N588" s="195"/>
      <c r="O588" s="195"/>
      <c r="P588" s="195"/>
      <c r="Q588" s="195"/>
      <c r="R588" s="195"/>
      <c r="S588" s="195"/>
      <c r="T588" s="195"/>
      <c r="U588" s="195"/>
      <c r="V588" s="197"/>
      <c r="W588" s="185"/>
      <c r="X588" s="141" t="s">
        <v>2</v>
      </c>
      <c r="Z588" s="187"/>
      <c r="AA588" s="187"/>
    </row>
    <row r="589" spans="1:27" s="186" customFormat="1" ht="15" customHeight="1">
      <c r="A589" s="215"/>
      <c r="B589" s="210"/>
      <c r="C589" s="298"/>
      <c r="D589" s="195"/>
      <c r="E589" s="195"/>
      <c r="F589" s="195"/>
      <c r="G589" s="195"/>
      <c r="H589" s="195"/>
      <c r="I589" s="195"/>
      <c r="J589" s="196"/>
      <c r="K589" s="196"/>
      <c r="L589" s="144"/>
      <c r="M589" s="195"/>
      <c r="N589" s="195"/>
      <c r="O589" s="195"/>
      <c r="P589" s="195"/>
      <c r="Q589" s="195"/>
      <c r="R589" s="195"/>
      <c r="S589" s="195"/>
      <c r="T589" s="195"/>
      <c r="U589" s="195"/>
      <c r="V589" s="197"/>
      <c r="W589" s="185"/>
      <c r="X589" s="141"/>
      <c r="Z589" s="187"/>
      <c r="AA589" s="187"/>
    </row>
    <row r="590" spans="1:27" s="186" customFormat="1" ht="15" customHeight="1" thickBot="1">
      <c r="A590" s="215"/>
      <c r="B590" s="509"/>
      <c r="C590" s="509"/>
      <c r="D590" s="512"/>
      <c r="E590" s="512"/>
      <c r="F590" s="512"/>
      <c r="G590" s="512"/>
      <c r="H590" s="512"/>
      <c r="I590" s="512"/>
      <c r="J590" s="512"/>
      <c r="K590" s="512"/>
      <c r="L590" s="512"/>
      <c r="M590" s="512"/>
      <c r="N590" s="512"/>
      <c r="O590" s="512"/>
      <c r="P590" s="512"/>
      <c r="Q590" s="512"/>
      <c r="R590" s="512"/>
      <c r="S590" s="512"/>
      <c r="T590" s="512"/>
      <c r="U590" s="512"/>
      <c r="V590" s="512"/>
      <c r="W590" s="512"/>
      <c r="X590" s="513"/>
      <c r="Z590" s="187"/>
      <c r="AA590" s="187"/>
    </row>
    <row r="591" spans="1:27" ht="15" customHeight="1" thickBot="1">
      <c r="A591" s="214"/>
      <c r="B591" s="272" t="str">
        <f>IF(X592="","BLANKET/FELT/PAPER (pcs)",X592)</f>
        <v>BLANKET/FELT/PAPER (pcs)</v>
      </c>
      <c r="C591" s="273" t="s">
        <v>101</v>
      </c>
      <c r="D591" s="274" t="s">
        <v>102</v>
      </c>
      <c r="E591" s="274" t="s">
        <v>42</v>
      </c>
      <c r="F591" s="274" t="s">
        <v>42</v>
      </c>
      <c r="G591" s="274" t="s">
        <v>43</v>
      </c>
      <c r="H591" s="274" t="s">
        <v>44</v>
      </c>
      <c r="I591" s="274" t="s">
        <v>47</v>
      </c>
      <c r="J591" s="274" t="s">
        <v>103</v>
      </c>
      <c r="K591" s="274" t="s">
        <v>37</v>
      </c>
      <c r="L591" s="274" t="s">
        <v>39</v>
      </c>
      <c r="M591" s="274" t="s">
        <v>41</v>
      </c>
      <c r="N591" s="274" t="s">
        <v>46</v>
      </c>
      <c r="O591" s="274"/>
      <c r="P591" s="274" t="s">
        <v>113</v>
      </c>
      <c r="Q591" s="274"/>
      <c r="R591" s="274"/>
      <c r="S591" s="274" t="s">
        <v>70</v>
      </c>
      <c r="T591" s="274" t="s">
        <v>26</v>
      </c>
      <c r="U591" s="274" t="s">
        <v>38</v>
      </c>
      <c r="V591" s="275" t="s">
        <v>27</v>
      </c>
      <c r="W591" s="276"/>
      <c r="X591" s="277"/>
    </row>
    <row r="592" spans="1:27" ht="15" customHeight="1" thickBot="1">
      <c r="A592" s="214"/>
      <c r="B592" s="210"/>
      <c r="C592" s="133">
        <f>SUMIF(Densidades!A:A,'Memória TOTAL'!X592,Densidades!B:B)</f>
        <v>0</v>
      </c>
      <c r="D592" s="134">
        <f>SUMIF(Densidades!A:A,'Memória TOTAL'!X592,Densidades!C:C)</f>
        <v>0</v>
      </c>
      <c r="E592" s="135">
        <f>SUMIF(Formatos!A:A,'Memória TOTAL'!X593,Formatos!E:E)</f>
        <v>0</v>
      </c>
      <c r="F592" s="135">
        <f>SUMIF(Formatos!A:A,'Memória TOTAL'!X593,Formatos!F:F)</f>
        <v>0</v>
      </c>
      <c r="G592" s="135">
        <f>SUMIF(Formatos!A:A,'Memória TOTAL'!X593,Formatos!C:C)</f>
        <v>0</v>
      </c>
      <c r="H592" s="135">
        <f>SUMIF(Formatos!A:A,'Memória TOTAL'!X593,Formatos!D:D)</f>
        <v>0</v>
      </c>
      <c r="I592" s="135">
        <f>SUMIF(Densidades!A:A,'Memória TOTAL'!X592,Densidades!H:H)</f>
        <v>0</v>
      </c>
      <c r="J592" s="136">
        <f>SUMIF(Formatos!A:A,'Memória TOTAL'!X593,Formatos!G:G)</f>
        <v>0</v>
      </c>
      <c r="K592" s="137">
        <f>SUMIF(Densidades!A:A,'Memória TOTAL'!X592,Densidades!I:I)</f>
        <v>0</v>
      </c>
      <c r="L592" s="138">
        <v>0</v>
      </c>
      <c r="M592" s="139"/>
      <c r="N592" s="257"/>
      <c r="O592" s="139"/>
      <c r="P592" s="139"/>
      <c r="Q592" s="139"/>
      <c r="R592" s="139"/>
      <c r="S592" s="139"/>
      <c r="T592" s="139"/>
      <c r="U592" s="139"/>
      <c r="V592" s="145"/>
      <c r="W592" s="193" t="str">
        <f>IF(C592=0,"",ROUNDUP(SUM(V594:V597)*(1+L592),2))</f>
        <v/>
      </c>
      <c r="X592" s="263"/>
    </row>
    <row r="593" spans="1:27" ht="15" customHeight="1" thickBot="1">
      <c r="A593" s="214"/>
      <c r="B593" s="211"/>
      <c r="C593" s="142"/>
      <c r="D593" s="139"/>
      <c r="E593" s="135">
        <f t="shared" ref="E593:K593" si="97">E592</f>
        <v>0</v>
      </c>
      <c r="F593" s="135">
        <f t="shared" si="97"/>
        <v>0</v>
      </c>
      <c r="G593" s="135">
        <f t="shared" si="97"/>
        <v>0</v>
      </c>
      <c r="H593" s="135">
        <f t="shared" si="97"/>
        <v>0</v>
      </c>
      <c r="I593" s="135">
        <f t="shared" si="97"/>
        <v>0</v>
      </c>
      <c r="J593" s="135">
        <f t="shared" si="97"/>
        <v>0</v>
      </c>
      <c r="K593" s="137">
        <f t="shared" si="97"/>
        <v>0</v>
      </c>
      <c r="L593" s="144"/>
      <c r="M593" s="139"/>
      <c r="N593" s="135">
        <f>N592</f>
        <v>0</v>
      </c>
      <c r="O593" s="139"/>
      <c r="P593" s="139"/>
      <c r="Q593" s="139"/>
      <c r="R593" s="139"/>
      <c r="S593" s="139"/>
      <c r="T593" s="139"/>
      <c r="U593" s="139"/>
      <c r="V593" s="145"/>
      <c r="W593" s="146"/>
      <c r="X593" s="263"/>
    </row>
    <row r="594" spans="1:27" ht="15" customHeight="1" thickBot="1">
      <c r="A594" s="214"/>
      <c r="B594" s="212" t="s">
        <v>71</v>
      </c>
      <c r="C594" s="142"/>
      <c r="D594" s="139"/>
      <c r="E594" s="135">
        <f t="shared" ref="E594:K594" si="98">E593</f>
        <v>0</v>
      </c>
      <c r="F594" s="135">
        <f t="shared" si="98"/>
        <v>0</v>
      </c>
      <c r="G594" s="135">
        <f t="shared" si="98"/>
        <v>0</v>
      </c>
      <c r="H594" s="135">
        <f t="shared" si="98"/>
        <v>0</v>
      </c>
      <c r="I594" s="135">
        <f t="shared" si="98"/>
        <v>0</v>
      </c>
      <c r="J594" s="135">
        <f t="shared" si="98"/>
        <v>0</v>
      </c>
      <c r="K594" s="137">
        <f t="shared" si="98"/>
        <v>0</v>
      </c>
      <c r="L594" s="144"/>
      <c r="M594" s="139"/>
      <c r="N594" s="135">
        <f>N593</f>
        <v>0</v>
      </c>
      <c r="O594" s="139"/>
      <c r="P594" s="139"/>
      <c r="Q594" s="139"/>
      <c r="R594" s="139"/>
      <c r="S594" s="139"/>
      <c r="T594" s="139"/>
      <c r="U594" s="195"/>
      <c r="V594" s="145"/>
      <c r="W594" s="146"/>
      <c r="X594" s="147" t="s">
        <v>524</v>
      </c>
    </row>
    <row r="595" spans="1:27" ht="15" customHeight="1" thickBot="1">
      <c r="A595" s="214"/>
      <c r="B595" s="206"/>
      <c r="C595" s="159"/>
      <c r="D595" s="160"/>
      <c r="E595" s="176">
        <f t="shared" ref="E595:K595" si="99">E594</f>
        <v>0</v>
      </c>
      <c r="F595" s="176">
        <f t="shared" si="99"/>
        <v>0</v>
      </c>
      <c r="G595" s="176">
        <f t="shared" si="99"/>
        <v>0</v>
      </c>
      <c r="H595" s="176">
        <f t="shared" si="99"/>
        <v>0</v>
      </c>
      <c r="I595" s="176">
        <f t="shared" si="99"/>
        <v>0</v>
      </c>
      <c r="J595" s="176">
        <f t="shared" si="99"/>
        <v>0</v>
      </c>
      <c r="K595" s="177">
        <f t="shared" si="99"/>
        <v>0</v>
      </c>
      <c r="L595" s="162"/>
      <c r="M595" s="160"/>
      <c r="N595" s="176">
        <f>N594</f>
        <v>0</v>
      </c>
      <c r="O595" s="160"/>
      <c r="P595" s="257"/>
      <c r="Q595" s="160"/>
      <c r="R595" s="160"/>
      <c r="S595" s="257"/>
      <c r="T595" s="178" t="str">
        <f>IF(S595="","-",IF(COUNTIF(E595:H595,P595)&lt;1,"Esp. Errada",ROUNDUP(S595/((G595+N595)*(H595+N595)*((E595+N595)+(F595+N595))/2/(P595+N595)),0)))</f>
        <v>-</v>
      </c>
      <c r="U595" s="257"/>
      <c r="V595" s="179">
        <f>IF(S595="",0,IF(OR(P595=E595,P595=G595,P595=H595),T595*U595,"ESP. ERRADA"))</f>
        <v>0</v>
      </c>
      <c r="W595" s="180"/>
      <c r="X595" s="181"/>
    </row>
    <row r="596" spans="1:27" s="186" customFormat="1" ht="15" customHeight="1" thickBot="1">
      <c r="A596" s="214"/>
      <c r="B596" s="206"/>
      <c r="C596" s="224"/>
      <c r="D596" s="201"/>
      <c r="E596" s="176">
        <f t="shared" ref="E596:K596" si="100">E594</f>
        <v>0</v>
      </c>
      <c r="F596" s="176">
        <f t="shared" si="100"/>
        <v>0</v>
      </c>
      <c r="G596" s="176">
        <f t="shared" si="100"/>
        <v>0</v>
      </c>
      <c r="H596" s="176">
        <f t="shared" si="100"/>
        <v>0</v>
      </c>
      <c r="I596" s="176">
        <f t="shared" si="100"/>
        <v>0</v>
      </c>
      <c r="J596" s="176">
        <f t="shared" si="100"/>
        <v>0</v>
      </c>
      <c r="K596" s="225">
        <f t="shared" si="100"/>
        <v>0</v>
      </c>
      <c r="L596" s="162"/>
      <c r="M596" s="270"/>
      <c r="N596" s="176">
        <f>N594</f>
        <v>0</v>
      </c>
      <c r="O596" s="201"/>
      <c r="P596" s="257"/>
      <c r="Q596" s="201"/>
      <c r="R596" s="201"/>
      <c r="S596" s="201"/>
      <c r="T596" s="227" t="str">
        <f>IF(M596="","-",IF(COUNTIF(E596:H596,P596)&lt;1,"Esp. Errada",ROUNDUP(M596/IF(G596=P596,G596,(G596+N596))/IF(H596=P596,H596,(H596+N596))/IF(E596=P596,E596,(E596+N596)),0)))</f>
        <v>-</v>
      </c>
      <c r="U596" s="257"/>
      <c r="V596" s="179">
        <f>IF(M596="",0,IF(OR(P596=E596,P596=G596,P596=H596),T596*U596,"ESP. ERRADA"))</f>
        <v>0</v>
      </c>
      <c r="W596" s="229"/>
      <c r="X596" s="230"/>
      <c r="Z596" s="187"/>
      <c r="AA596" s="187"/>
    </row>
    <row r="597" spans="1:27" s="186" customFormat="1" ht="15" customHeight="1">
      <c r="A597" s="215"/>
      <c r="B597" s="210"/>
      <c r="C597" s="200"/>
      <c r="D597" s="195"/>
      <c r="E597" s="195"/>
      <c r="F597" s="195"/>
      <c r="G597" s="195"/>
      <c r="H597" s="195"/>
      <c r="I597" s="195"/>
      <c r="J597" s="196"/>
      <c r="K597" s="196"/>
      <c r="L597" s="144"/>
      <c r="M597" s="195"/>
      <c r="N597" s="195"/>
      <c r="O597" s="195"/>
      <c r="P597" s="195"/>
      <c r="Q597" s="195"/>
      <c r="R597" s="195"/>
      <c r="S597" s="195"/>
      <c r="T597" s="195"/>
      <c r="U597" s="195"/>
      <c r="V597" s="197"/>
      <c r="W597" s="185"/>
      <c r="X597" s="141"/>
      <c r="Z597" s="187"/>
      <c r="AA597" s="187"/>
    </row>
    <row r="598" spans="1:27" s="186" customFormat="1" ht="15" customHeight="1" thickBot="1">
      <c r="A598" s="215"/>
      <c r="B598" s="509"/>
      <c r="C598" s="509"/>
      <c r="D598" s="512"/>
      <c r="E598" s="512"/>
      <c r="F598" s="512"/>
      <c r="G598" s="512"/>
      <c r="H598" s="512"/>
      <c r="I598" s="512"/>
      <c r="J598" s="512"/>
      <c r="K598" s="512"/>
      <c r="L598" s="512"/>
      <c r="M598" s="512"/>
      <c r="N598" s="512"/>
      <c r="O598" s="512"/>
      <c r="P598" s="512"/>
      <c r="Q598" s="512"/>
      <c r="R598" s="512"/>
      <c r="S598" s="512"/>
      <c r="T598" s="512"/>
      <c r="U598" s="512"/>
      <c r="V598" s="512"/>
      <c r="W598" s="512"/>
      <c r="X598" s="513"/>
      <c r="Z598" s="187"/>
      <c r="AA598" s="187"/>
    </row>
    <row r="599" spans="1:27" ht="15" customHeight="1" thickBot="1">
      <c r="A599" s="214"/>
      <c r="B599" s="272" t="str">
        <f>IF(X600="","JOINT PANEL (pcs)",X600)</f>
        <v>JOINT PANEL (pcs)</v>
      </c>
      <c r="C599" s="273" t="s">
        <v>101</v>
      </c>
      <c r="D599" s="274" t="s">
        <v>102</v>
      </c>
      <c r="E599" s="274" t="s">
        <v>42</v>
      </c>
      <c r="F599" s="274" t="s">
        <v>42</v>
      </c>
      <c r="G599" s="274" t="s">
        <v>43</v>
      </c>
      <c r="H599" s="274" t="s">
        <v>44</v>
      </c>
      <c r="I599" s="274" t="s">
        <v>47</v>
      </c>
      <c r="J599" s="274" t="s">
        <v>103</v>
      </c>
      <c r="K599" s="274" t="s">
        <v>37</v>
      </c>
      <c r="L599" s="274" t="s">
        <v>39</v>
      </c>
      <c r="M599" s="274"/>
      <c r="N599" s="274"/>
      <c r="O599" s="274"/>
      <c r="P599" s="183" t="s">
        <v>1095</v>
      </c>
      <c r="Q599" s="274" t="s">
        <v>107</v>
      </c>
      <c r="R599" s="183" t="s">
        <v>65</v>
      </c>
      <c r="S599" s="274" t="s">
        <v>70</v>
      </c>
      <c r="T599" s="274" t="s">
        <v>26</v>
      </c>
      <c r="U599" s="274" t="s">
        <v>38</v>
      </c>
      <c r="V599" s="275" t="s">
        <v>27</v>
      </c>
      <c r="W599" s="276"/>
      <c r="X599" s="277"/>
    </row>
    <row r="600" spans="1:27" ht="15" customHeight="1" thickBot="1">
      <c r="A600" s="214"/>
      <c r="B600" s="210"/>
      <c r="C600" s="133">
        <f>SUMIF(Densidades!A:A,'Memória TOTAL'!X600,Densidades!B:B)</f>
        <v>0</v>
      </c>
      <c r="D600" s="134">
        <f>SUMIF(Densidades!A:A,'Memória TOTAL'!X600,Densidades!C:C)</f>
        <v>0</v>
      </c>
      <c r="E600" s="135">
        <f>SUMIF(Formatos!A:A,'Memória TOTAL'!X601,Formatos!E:E)</f>
        <v>0</v>
      </c>
      <c r="F600" s="135">
        <f>SUMIF(Formatos!A:A,'Memória TOTAL'!X601,Formatos!F:F)</f>
        <v>0</v>
      </c>
      <c r="G600" s="135">
        <f>SUMIF(Formatos!A:A,'Memória TOTAL'!X601,Formatos!C:C)</f>
        <v>0</v>
      </c>
      <c r="H600" s="135">
        <f>SUMIF(Formatos!A:A,'Memória TOTAL'!X601,Formatos!D:D)</f>
        <v>0</v>
      </c>
      <c r="I600" s="135">
        <f>SUMIF(Densidades!A:A,'Memória TOTAL'!X600,Densidades!H:H)</f>
        <v>0</v>
      </c>
      <c r="J600" s="136">
        <f>SUMIF(Formatos!A:A,'Memória TOTAL'!X601,Formatos!G:G)</f>
        <v>0</v>
      </c>
      <c r="K600" s="137">
        <f>SUMIF(Densidades!A:A,'Memória TOTAL'!X600,Densidades!I:I)</f>
        <v>0</v>
      </c>
      <c r="L600" s="138">
        <v>0</v>
      </c>
      <c r="M600" s="139"/>
      <c r="N600" s="139"/>
      <c r="O600" s="139"/>
      <c r="P600" s="139"/>
      <c r="Q600" s="139"/>
      <c r="R600" s="139"/>
      <c r="S600" s="139"/>
      <c r="T600" s="139"/>
      <c r="U600" s="139"/>
      <c r="V600" s="145"/>
      <c r="W600" s="193" t="str">
        <f>IF(C600=0,"",ROUNDUP(SUM(V602:V604)*(1+L600),2))</f>
        <v/>
      </c>
      <c r="X600" s="263"/>
    </row>
    <row r="601" spans="1:27" ht="15" customHeight="1" thickBot="1">
      <c r="A601" s="214"/>
      <c r="B601" s="211"/>
      <c r="C601" s="142"/>
      <c r="D601" s="139"/>
      <c r="E601" s="135">
        <f t="shared" ref="E601:K601" si="101">E600</f>
        <v>0</v>
      </c>
      <c r="F601" s="135">
        <f t="shared" si="101"/>
        <v>0</v>
      </c>
      <c r="G601" s="135">
        <f t="shared" si="101"/>
        <v>0</v>
      </c>
      <c r="H601" s="135">
        <f t="shared" si="101"/>
        <v>0</v>
      </c>
      <c r="I601" s="135">
        <f t="shared" si="101"/>
        <v>0</v>
      </c>
      <c r="J601" s="135">
        <f t="shared" si="101"/>
        <v>0</v>
      </c>
      <c r="K601" s="137">
        <f t="shared" si="101"/>
        <v>0</v>
      </c>
      <c r="L601" s="144"/>
      <c r="M601" s="139"/>
      <c r="N601" s="135"/>
      <c r="O601" s="139"/>
      <c r="P601" s="139"/>
      <c r="Q601" s="139"/>
      <c r="R601" s="139"/>
      <c r="S601" s="139"/>
      <c r="T601" s="139"/>
      <c r="U601" s="139"/>
      <c r="V601" s="145"/>
      <c r="W601" s="146"/>
      <c r="X601" s="263"/>
    </row>
    <row r="602" spans="1:27" ht="15" customHeight="1" thickBot="1">
      <c r="A602" s="214"/>
      <c r="B602" s="212" t="s">
        <v>71</v>
      </c>
      <c r="C602" s="142"/>
      <c r="D602" s="139"/>
      <c r="E602" s="135">
        <f t="shared" ref="E602:K602" si="102">E601</f>
        <v>0</v>
      </c>
      <c r="F602" s="135">
        <f t="shared" si="102"/>
        <v>0</v>
      </c>
      <c r="G602" s="135">
        <f t="shared" si="102"/>
        <v>0</v>
      </c>
      <c r="H602" s="135">
        <f t="shared" si="102"/>
        <v>0</v>
      </c>
      <c r="I602" s="135">
        <f t="shared" si="102"/>
        <v>0</v>
      </c>
      <c r="J602" s="135">
        <f t="shared" si="102"/>
        <v>0</v>
      </c>
      <c r="K602" s="137">
        <f t="shared" si="102"/>
        <v>0</v>
      </c>
      <c r="L602" s="144"/>
      <c r="M602" s="139"/>
      <c r="N602" s="135"/>
      <c r="O602" s="139"/>
      <c r="P602" s="139"/>
      <c r="Q602" s="139"/>
      <c r="R602" s="139"/>
      <c r="S602" s="139"/>
      <c r="T602" s="139"/>
      <c r="U602" s="195" t="s">
        <v>673</v>
      </c>
      <c r="V602" s="145"/>
      <c r="W602" s="146"/>
      <c r="X602" s="147" t="s">
        <v>524</v>
      </c>
    </row>
    <row r="603" spans="1:27" ht="15" customHeight="1" thickBot="1">
      <c r="A603" s="214"/>
      <c r="B603" s="206"/>
      <c r="C603" s="159"/>
      <c r="D603" s="160"/>
      <c r="E603" s="176">
        <f t="shared" ref="E603:K603" si="103">E602</f>
        <v>0</v>
      </c>
      <c r="F603" s="176">
        <f t="shared" si="103"/>
        <v>0</v>
      </c>
      <c r="G603" s="176">
        <f t="shared" si="103"/>
        <v>0</v>
      </c>
      <c r="H603" s="176">
        <f t="shared" si="103"/>
        <v>0</v>
      </c>
      <c r="I603" s="176">
        <f t="shared" si="103"/>
        <v>0</v>
      </c>
      <c r="J603" s="176">
        <f t="shared" si="103"/>
        <v>0</v>
      </c>
      <c r="K603" s="177">
        <f t="shared" si="103"/>
        <v>0</v>
      </c>
      <c r="L603" s="162"/>
      <c r="M603" s="160"/>
      <c r="N603" s="176"/>
      <c r="O603" s="160"/>
      <c r="P603" s="257"/>
      <c r="Q603" s="160"/>
      <c r="R603" s="257"/>
      <c r="S603" s="257"/>
      <c r="T603" s="227" t="e">
        <f>ROUNDUP((((S603/P603/P603)*(P603*2)*R603)/G603/H603),0)</f>
        <v>#DIV/0!</v>
      </c>
      <c r="U603" s="257"/>
      <c r="V603" s="179" t="e">
        <f>U603*T603</f>
        <v>#DIV/0!</v>
      </c>
      <c r="W603" s="180"/>
      <c r="X603" s="181"/>
    </row>
    <row r="604" spans="1:27" s="186" customFormat="1" ht="15" customHeight="1">
      <c r="A604" s="215"/>
      <c r="B604" s="210"/>
      <c r="C604" s="200"/>
      <c r="D604" s="195"/>
      <c r="E604" s="195"/>
      <c r="F604" s="195"/>
      <c r="G604" s="195"/>
      <c r="H604" s="195"/>
      <c r="I604" s="195"/>
      <c r="J604" s="196"/>
      <c r="K604" s="196"/>
      <c r="L604" s="144"/>
      <c r="M604" s="195"/>
      <c r="N604" s="195"/>
      <c r="O604" s="195"/>
      <c r="P604" s="195"/>
      <c r="Q604" s="195"/>
      <c r="R604" s="195"/>
      <c r="S604" s="195"/>
      <c r="T604" s="195"/>
      <c r="U604" s="195"/>
      <c r="V604" s="197"/>
      <c r="W604" s="185"/>
      <c r="X604" s="141"/>
      <c r="Z604" s="187"/>
      <c r="AA604" s="187"/>
    </row>
    <row r="605" spans="1:27" s="186" customFormat="1" ht="15" customHeight="1" thickBot="1">
      <c r="A605" s="215"/>
      <c r="B605" s="509"/>
      <c r="C605" s="509"/>
      <c r="D605" s="512"/>
      <c r="E605" s="512"/>
      <c r="F605" s="512"/>
      <c r="G605" s="512"/>
      <c r="H605" s="512"/>
      <c r="I605" s="512"/>
      <c r="J605" s="512"/>
      <c r="K605" s="512"/>
      <c r="L605" s="512"/>
      <c r="M605" s="512"/>
      <c r="N605" s="512"/>
      <c r="O605" s="512"/>
      <c r="P605" s="512"/>
      <c r="Q605" s="512"/>
      <c r="R605" s="512"/>
      <c r="S605" s="512"/>
      <c r="T605" s="512"/>
      <c r="U605" s="512"/>
      <c r="V605" s="512"/>
      <c r="W605" s="512"/>
      <c r="X605" s="513"/>
      <c r="Z605" s="187"/>
      <c r="AA605" s="187"/>
    </row>
    <row r="606" spans="1:27" s="186" customFormat="1" ht="15" customHeight="1" thickBot="1">
      <c r="A606" s="214"/>
      <c r="B606" s="202" t="str">
        <f>IF(X607="","FIBRA",X607)</f>
        <v>CER. FIBER WOOL 96/1260</v>
      </c>
      <c r="C606" s="219" t="s">
        <v>101</v>
      </c>
      <c r="D606" s="183" t="s">
        <v>102</v>
      </c>
      <c r="E606" s="183"/>
      <c r="F606" s="183"/>
      <c r="G606" s="183"/>
      <c r="H606" s="183"/>
      <c r="I606" s="183"/>
      <c r="J606" s="183" t="s">
        <v>103</v>
      </c>
      <c r="K606" s="183" t="s">
        <v>37</v>
      </c>
      <c r="L606" s="183" t="s">
        <v>39</v>
      </c>
      <c r="M606" s="183" t="s">
        <v>10</v>
      </c>
      <c r="N606" s="183"/>
      <c r="O606" s="183"/>
      <c r="P606" s="183"/>
      <c r="Q606" s="183"/>
      <c r="R606" s="183"/>
      <c r="S606" s="183"/>
      <c r="T606" s="183" t="s">
        <v>26</v>
      </c>
      <c r="U606" s="183" t="s">
        <v>38</v>
      </c>
      <c r="V606" s="184" t="s">
        <v>27</v>
      </c>
      <c r="W606" s="220"/>
      <c r="X606" s="221"/>
      <c r="Z606" s="187"/>
      <c r="AA606" s="187"/>
    </row>
    <row r="607" spans="1:27" s="186" customFormat="1" ht="15" customHeight="1" thickBot="1">
      <c r="A607" s="214"/>
      <c r="B607" s="194"/>
      <c r="C607" s="133">
        <f>SUMIF(Densidades!A:A,'Memória TOTAL'!X607,Densidades!B:B)</f>
        <v>9.6000000000000002E-2</v>
      </c>
      <c r="D607" s="134">
        <f>SUMIF(Densidades!A:A,'Memória TOTAL'!X607,Densidades!C:C)</f>
        <v>1</v>
      </c>
      <c r="E607" s="134"/>
      <c r="F607" s="134"/>
      <c r="G607" s="134"/>
      <c r="H607" s="134"/>
      <c r="I607" s="134"/>
      <c r="J607" s="136">
        <f>SUMIF(Formatos!A:A,'Memória TOTAL'!X608,Formatos!G:G)</f>
        <v>1</v>
      </c>
      <c r="K607" s="222">
        <f>SUMIF(Densidades!A:A,'Memória TOTAL'!X607,Densidades!I:I)</f>
        <v>4</v>
      </c>
      <c r="L607" s="223">
        <v>0</v>
      </c>
      <c r="M607" s="195"/>
      <c r="N607" s="195"/>
      <c r="O607" s="195"/>
      <c r="P607" s="195"/>
      <c r="Q607" s="195"/>
      <c r="R607" s="195"/>
      <c r="S607" s="195"/>
      <c r="T607" s="195"/>
      <c r="U607" s="195"/>
      <c r="V607" s="197"/>
      <c r="W607" s="193">
        <f>IF(C607=0,"",ROUNDUP(SUM(V611:V611)*(1+L607),2))</f>
        <v>0</v>
      </c>
      <c r="X607" s="263" t="s">
        <v>1811</v>
      </c>
      <c r="Z607" s="187"/>
      <c r="AA607" s="187"/>
    </row>
    <row r="608" spans="1:27" s="186" customFormat="1" ht="15" customHeight="1" thickBot="1">
      <c r="A608" s="214"/>
      <c r="B608" s="194"/>
      <c r="C608" s="200"/>
      <c r="D608" s="195"/>
      <c r="E608" s="195"/>
      <c r="F608" s="195"/>
      <c r="G608" s="195"/>
      <c r="H608" s="195"/>
      <c r="I608" s="195"/>
      <c r="J608" s="196"/>
      <c r="K608" s="196"/>
      <c r="L608" s="144"/>
      <c r="M608" s="195"/>
      <c r="N608" s="195"/>
      <c r="O608" s="195"/>
      <c r="P608" s="195"/>
      <c r="Q608" s="195"/>
      <c r="R608" s="195"/>
      <c r="S608" s="195"/>
      <c r="T608" s="195"/>
      <c r="U608" s="195"/>
      <c r="V608" s="197"/>
      <c r="W608" s="185"/>
      <c r="X608" s="263" t="s">
        <v>1841</v>
      </c>
      <c r="Z608" s="187"/>
      <c r="AA608" s="187"/>
    </row>
    <row r="609" spans="1:27" s="186" customFormat="1" ht="15" customHeight="1">
      <c r="A609" s="214"/>
      <c r="B609" s="194"/>
      <c r="C609" s="200"/>
      <c r="D609" s="195"/>
      <c r="E609" s="195"/>
      <c r="F609" s="195"/>
      <c r="G609" s="195"/>
      <c r="H609" s="195"/>
      <c r="I609" s="195"/>
      <c r="J609" s="196"/>
      <c r="K609" s="196"/>
      <c r="L609" s="144"/>
      <c r="M609" s="195"/>
      <c r="N609" s="195"/>
      <c r="O609" s="195"/>
      <c r="P609" s="195"/>
      <c r="Q609" s="195"/>
      <c r="R609" s="195"/>
      <c r="S609" s="195"/>
      <c r="T609" s="195"/>
      <c r="U609" s="195"/>
      <c r="V609" s="197"/>
      <c r="W609" s="185"/>
      <c r="X609" s="141" t="s">
        <v>2</v>
      </c>
      <c r="Z609" s="187"/>
      <c r="AA609" s="187"/>
    </row>
    <row r="610" spans="1:27" s="186" customFormat="1" ht="15" customHeight="1" thickBot="1">
      <c r="A610" s="214"/>
      <c r="B610" s="168"/>
      <c r="C610" s="200"/>
      <c r="D610" s="195"/>
      <c r="E610" s="195"/>
      <c r="F610" s="195"/>
      <c r="G610" s="195"/>
      <c r="H610" s="195"/>
      <c r="I610" s="195"/>
      <c r="J610" s="196"/>
      <c r="K610" s="196"/>
      <c r="L610" s="144"/>
      <c r="M610" s="195"/>
      <c r="N610" s="195"/>
      <c r="O610" s="195"/>
      <c r="P610" s="195"/>
      <c r="Q610" s="195"/>
      <c r="R610" s="195"/>
      <c r="S610" s="195"/>
      <c r="T610" s="195"/>
      <c r="U610" s="195"/>
      <c r="V610" s="197"/>
      <c r="W610" s="185"/>
      <c r="X610" s="141"/>
      <c r="Z610" s="187"/>
      <c r="AA610" s="187"/>
    </row>
    <row r="611" spans="1:27" s="186" customFormat="1" ht="15" customHeight="1" thickBot="1">
      <c r="A611" s="214"/>
      <c r="B611" s="206"/>
      <c r="C611" s="198">
        <f>C607</f>
        <v>9.6000000000000002E-2</v>
      </c>
      <c r="D611" s="201"/>
      <c r="E611" s="201"/>
      <c r="F611" s="201"/>
      <c r="G611" s="201"/>
      <c r="H611" s="201"/>
      <c r="I611" s="201"/>
      <c r="J611" s="234"/>
      <c r="K611" s="234"/>
      <c r="L611" s="237">
        <v>0</v>
      </c>
      <c r="M611" s="257"/>
      <c r="N611" s="201"/>
      <c r="O611" s="201"/>
      <c r="P611" s="201"/>
      <c r="Q611" s="201"/>
      <c r="R611" s="201"/>
      <c r="S611" s="201"/>
      <c r="T611" s="227">
        <f>M611/10^6</f>
        <v>0</v>
      </c>
      <c r="U611" s="259">
        <v>1</v>
      </c>
      <c r="V611" s="228">
        <f>ROUNDUP(T611*C611*(1+L611),0)*U611</f>
        <v>0</v>
      </c>
      <c r="W611" s="229"/>
      <c r="X611" s="230"/>
      <c r="Z611" s="187"/>
      <c r="AA611" s="187"/>
    </row>
    <row r="612" spans="1:27" s="186" customFormat="1" ht="15" customHeight="1">
      <c r="A612" s="214"/>
      <c r="B612" s="194"/>
      <c r="C612" s="200"/>
      <c r="D612" s="195"/>
      <c r="E612" s="195"/>
      <c r="F612" s="195"/>
      <c r="G612" s="195"/>
      <c r="H612" s="195"/>
      <c r="I612" s="195"/>
      <c r="J612" s="196"/>
      <c r="K612" s="196"/>
      <c r="L612" s="144"/>
      <c r="M612" s="195"/>
      <c r="N612" s="195"/>
      <c r="O612" s="195"/>
      <c r="P612" s="195"/>
      <c r="Q612" s="195"/>
      <c r="R612" s="195"/>
      <c r="S612" s="195"/>
      <c r="T612" s="195"/>
      <c r="U612" s="195"/>
      <c r="V612" s="197"/>
      <c r="W612" s="185"/>
      <c r="X612" s="141"/>
      <c r="Z612" s="187"/>
      <c r="AA612" s="187"/>
    </row>
    <row r="613" spans="1:27" s="186" customFormat="1" ht="15" customHeight="1" thickBot="1">
      <c r="A613" s="214"/>
      <c r="B613" s="509"/>
      <c r="C613" s="509"/>
      <c r="D613" s="512"/>
      <c r="E613" s="512"/>
      <c r="F613" s="512"/>
      <c r="G613" s="512"/>
      <c r="H613" s="512"/>
      <c r="I613" s="512"/>
      <c r="J613" s="512"/>
      <c r="K613" s="512"/>
      <c r="L613" s="512"/>
      <c r="M613" s="512"/>
      <c r="N613" s="512"/>
      <c r="O613" s="512"/>
      <c r="P613" s="512"/>
      <c r="Q613" s="512"/>
      <c r="R613" s="512"/>
      <c r="S613" s="512"/>
      <c r="T613" s="512"/>
      <c r="U613" s="512"/>
      <c r="V613" s="512"/>
      <c r="W613" s="512"/>
      <c r="X613" s="513"/>
      <c r="Z613" s="187"/>
      <c r="AA613" s="187"/>
    </row>
    <row r="614" spans="1:27" ht="15" customHeight="1" thickBot="1">
      <c r="A614" s="278"/>
      <c r="B614" s="272" t="str">
        <f>IF(X615="","ESPINHA DE PEIXE-FUNDO ESF.",X615)</f>
        <v>ESPINHA DE PEIXE-FUNDO ESF.</v>
      </c>
      <c r="C614" s="273" t="s">
        <v>101</v>
      </c>
      <c r="D614" s="274" t="s">
        <v>102</v>
      </c>
      <c r="E614" s="274" t="s">
        <v>42</v>
      </c>
      <c r="F614" s="274" t="s">
        <v>42</v>
      </c>
      <c r="G614" s="274" t="s">
        <v>43</v>
      </c>
      <c r="H614" s="274" t="s">
        <v>44</v>
      </c>
      <c r="I614" s="274" t="s">
        <v>47</v>
      </c>
      <c r="J614" s="274" t="s">
        <v>103</v>
      </c>
      <c r="K614" s="274" t="s">
        <v>37</v>
      </c>
      <c r="L614" s="274" t="s">
        <v>39</v>
      </c>
      <c r="M614" s="274" t="s">
        <v>45</v>
      </c>
      <c r="N614" s="274" t="s">
        <v>46</v>
      </c>
      <c r="O614" s="274" t="s">
        <v>672</v>
      </c>
      <c r="P614" s="274" t="s">
        <v>51</v>
      </c>
      <c r="Q614" s="274" t="s">
        <v>52</v>
      </c>
      <c r="R614" s="296" t="s">
        <v>1012</v>
      </c>
      <c r="S614" s="274"/>
      <c r="T614" s="274"/>
      <c r="U614" s="296" t="s">
        <v>38</v>
      </c>
      <c r="V614" s="275" t="s">
        <v>27</v>
      </c>
      <c r="W614" s="276"/>
      <c r="X614" s="277"/>
    </row>
    <row r="615" spans="1:27" ht="15" customHeight="1" thickBot="1">
      <c r="A615" s="244"/>
      <c r="B615" s="246"/>
      <c r="C615" s="245">
        <f>SUMIF(Densidades!A:A,'Memória TOTAL'!X615,Densidades!B:B)</f>
        <v>0</v>
      </c>
      <c r="D615" s="134">
        <f>SUMIF(Densidades!A:A,'Memória TOTAL'!X615,Densidades!C:C)</f>
        <v>0</v>
      </c>
      <c r="E615" s="135">
        <f>IF(AND(E621=1,E622=2),SUMIF(Formatos!A:A,'Memória TOTAL'!X616,Formatos!D:D),SUMIF(Formatos!A:A,'Memória TOTAL'!X616,Formatos!E:E))</f>
        <v>0</v>
      </c>
      <c r="F615" s="135">
        <f>IF(AND(E621=1,E622=2),SUMIF(Formatos!A:A,'Memória TOTAL'!X616,Formatos!R:R),SUMIF(Formatos!A:A,'Memória TOTAL'!X616,Formatos!F:F))</f>
        <v>0</v>
      </c>
      <c r="G615" s="135">
        <f>SUMIF(Formatos!A:A,'Memória TOTAL'!X616,Formatos!C:C)</f>
        <v>0</v>
      </c>
      <c r="H615" s="135">
        <f>SUMIF(Formatos!A:A,'Memória TOTAL'!X616,Formatos!D:D)</f>
        <v>0</v>
      </c>
      <c r="I615" s="135">
        <f>SUMIF(Densidades!A:A,'Memória TOTAL'!X615,Densidades!H:H)</f>
        <v>0</v>
      </c>
      <c r="J615" s="136">
        <f>SUMIF(Formatos!A:A,'Memória TOTAL'!X616,Formatos!G:G)</f>
        <v>0</v>
      </c>
      <c r="K615" s="137">
        <f>SUMIF(Densidades!A:A,'Memória TOTAL'!X615,Densidades!I:I)</f>
        <v>0</v>
      </c>
      <c r="L615" s="253">
        <v>0</v>
      </c>
      <c r="M615" s="256"/>
      <c r="N615" s="254">
        <v>0</v>
      </c>
      <c r="O615" s="257"/>
      <c r="P615" s="255">
        <f>O615*2</f>
        <v>0</v>
      </c>
      <c r="Q615" s="139">
        <f>P615-(2*M615)</f>
        <v>0</v>
      </c>
      <c r="R615" s="257"/>
      <c r="S615" s="260"/>
      <c r="T615" s="195"/>
      <c r="U615" s="257"/>
      <c r="V615" s="256" t="str">
        <f>IF(M615="","",IF(OR(M615=E615,M615=G615,M615=H615),ROUND(R622,0),"ESP. ERRADA"))</f>
        <v/>
      </c>
      <c r="W615" s="262" t="str">
        <f>IFERROR(IF(C615=0,"",ROUNDUP(SUM(V615)*(1+L615),0))*U615,"")</f>
        <v/>
      </c>
      <c r="X615" s="263"/>
    </row>
    <row r="616" spans="1:27" s="186" customFormat="1" ht="15" customHeight="1">
      <c r="A616" s="215"/>
      <c r="B616" s="301"/>
      <c r="C616" s="236"/>
      <c r="D616" s="195"/>
      <c r="E616" s="195"/>
      <c r="F616" s="195"/>
      <c r="G616" s="195"/>
      <c r="H616" s="195"/>
      <c r="I616" s="195"/>
      <c r="J616" s="196"/>
      <c r="K616" s="196"/>
      <c r="L616" s="144"/>
      <c r="M616" s="195"/>
      <c r="N616" s="195"/>
      <c r="O616" s="195"/>
      <c r="P616" s="195"/>
      <c r="Q616" s="195"/>
      <c r="R616" s="195"/>
      <c r="S616" s="195"/>
      <c r="T616" s="195"/>
      <c r="U616" s="195"/>
      <c r="V616" s="197"/>
      <c r="W616" s="185"/>
      <c r="X616" s="141" t="str">
        <f>IF(B621="","",B621)</f>
        <v/>
      </c>
      <c r="Z616" s="187"/>
      <c r="AA616" s="187"/>
    </row>
    <row r="617" spans="1:27" s="186" customFormat="1" ht="15" customHeight="1">
      <c r="A617" s="215"/>
      <c r="B617" s="301"/>
      <c r="C617" s="236"/>
      <c r="D617" s="195"/>
      <c r="E617" s="195"/>
      <c r="F617" s="195"/>
      <c r="G617" s="195"/>
      <c r="H617" s="195"/>
      <c r="I617" s="195"/>
      <c r="J617" s="196"/>
      <c r="K617" s="196"/>
      <c r="L617" s="144"/>
      <c r="M617" s="195"/>
      <c r="N617" s="195"/>
      <c r="O617" s="195"/>
      <c r="P617" s="195"/>
      <c r="Q617" s="195"/>
      <c r="R617" s="195"/>
      <c r="S617" s="195"/>
      <c r="T617" s="195"/>
      <c r="U617" s="195"/>
      <c r="V617" s="197"/>
      <c r="W617" s="185"/>
      <c r="X617" s="141" t="s">
        <v>524</v>
      </c>
      <c r="Z617" s="187"/>
      <c r="AA617" s="187"/>
    </row>
    <row r="618" spans="1:27" s="186" customFormat="1" ht="15" customHeight="1" thickBot="1">
      <c r="A618" s="215"/>
      <c r="B618" s="301"/>
      <c r="C618" s="236" t="str">
        <f t="shared" ref="C618:L618" si="104">C614</f>
        <v>Dens.</v>
      </c>
      <c r="D618" s="195" t="str">
        <f t="shared" si="104"/>
        <v>Emb.</v>
      </c>
      <c r="E618" s="238" t="str">
        <f t="shared" si="104"/>
        <v>Esp. Tij.</v>
      </c>
      <c r="F618" s="238" t="str">
        <f t="shared" si="104"/>
        <v>Esp. Tij.</v>
      </c>
      <c r="G618" s="238" t="str">
        <f t="shared" si="104"/>
        <v>Comp. Tij.</v>
      </c>
      <c r="H618" s="238" t="str">
        <f t="shared" si="104"/>
        <v>Larg. Tij.</v>
      </c>
      <c r="I618" s="238" t="str">
        <f t="shared" si="104"/>
        <v>Tipo Fator</v>
      </c>
      <c r="J618" s="238" t="str">
        <f t="shared" si="104"/>
        <v>Vol.</v>
      </c>
      <c r="K618" s="238" t="str">
        <f t="shared" si="104"/>
        <v>Class.</v>
      </c>
      <c r="L618" s="195" t="str">
        <f t="shared" si="104"/>
        <v>Coefic. (%)</v>
      </c>
      <c r="M618" s="195"/>
      <c r="N618" s="195"/>
      <c r="O618" s="195"/>
      <c r="P618" s="195"/>
      <c r="Q618" s="195"/>
      <c r="R618" s="195"/>
      <c r="S618" s="195"/>
      <c r="T618" s="195"/>
      <c r="U618" s="195"/>
      <c r="V618" s="242"/>
      <c r="W618" s="185"/>
      <c r="X618" s="141"/>
      <c r="Z618" s="187"/>
      <c r="AA618" s="187"/>
    </row>
    <row r="619" spans="1:27" s="186" customFormat="1" ht="15" customHeight="1" thickBot="1">
      <c r="A619" s="215"/>
      <c r="B619" s="301"/>
      <c r="C619" s="245">
        <f>SUMIF(Densidades!A:A,'Memória TOTAL'!X619,Densidades!B:B)</f>
        <v>0</v>
      </c>
      <c r="D619" s="134">
        <f>SUMIF(Densidades!A:A,'Memória TOTAL'!X619,Densidades!C:C)</f>
        <v>620</v>
      </c>
      <c r="E619" s="135">
        <f>SUMIF(Formatos!A:A,'Memória TOTAL'!X620,Formatos!E:E)</f>
        <v>0</v>
      </c>
      <c r="F619" s="135">
        <f>SUMIF(Formatos!A:A,'Memória TOTAL'!X620,Formatos!F:F)</f>
        <v>0</v>
      </c>
      <c r="G619" s="135">
        <f>SUMIF(Formatos!A:A,'Memória TOTAL'!X620,Formatos!C:C)</f>
        <v>0</v>
      </c>
      <c r="H619" s="135">
        <f>SUMIF(Formatos!A:A,'Memória TOTAL'!X620,Formatos!D:D)</f>
        <v>0</v>
      </c>
      <c r="I619" s="135">
        <f>SUMIF(Densidades!A:A,'Memória TOTAL'!X619,Densidades!H:H)</f>
        <v>0</v>
      </c>
      <c r="J619" s="136">
        <f>SUMIF(Formatos!A:A,'Memória TOTAL'!X620,Formatos!G:G)</f>
        <v>0</v>
      </c>
      <c r="K619" s="222">
        <f>SUMIF(Densidades!A:A,'Memória TOTAL'!X619,Densidades!I:I)</f>
        <v>177</v>
      </c>
      <c r="L619" s="223">
        <v>0</v>
      </c>
      <c r="M619" s="195"/>
      <c r="N619" s="195"/>
      <c r="O619" s="195"/>
      <c r="P619" s="195"/>
      <c r="Q619" s="195"/>
      <c r="R619" s="195"/>
      <c r="S619" s="195"/>
      <c r="T619" s="232"/>
      <c r="U619" s="235"/>
      <c r="V619" s="256" t="str">
        <f>IF(M615="","",IF(OR(M615=E615,M615=G615,M615=H615),ROUND(S622,0),"ESP. ERRADA"))</f>
        <v/>
      </c>
      <c r="W619" s="267" t="str">
        <f>IFERROR(IF(C619=0,"",ROUNDUP(SUM(V619)*(1+L619),0))*U615,"")</f>
        <v/>
      </c>
      <c r="X619" s="141" t="str">
        <f>IF(X615="","",X615)</f>
        <v/>
      </c>
      <c r="Z619" s="187"/>
      <c r="AA619" s="187"/>
    </row>
    <row r="620" spans="1:27" s="186" customFormat="1" ht="15" customHeight="1">
      <c r="A620" s="215"/>
      <c r="B620" s="301"/>
      <c r="C620" s="236"/>
      <c r="D620" s="195"/>
      <c r="E620" s="195"/>
      <c r="F620" s="195"/>
      <c r="G620" s="195"/>
      <c r="H620" s="195"/>
      <c r="I620" s="195"/>
      <c r="J620" s="196"/>
      <c r="K620" s="196"/>
      <c r="L620" s="144"/>
      <c r="M620" s="195"/>
      <c r="N620" s="195"/>
      <c r="O620" s="195"/>
      <c r="P620" s="195"/>
      <c r="Q620" s="195"/>
      <c r="R620" s="195"/>
      <c r="S620" s="195"/>
      <c r="T620" s="195"/>
      <c r="U620" s="195"/>
      <c r="V620" s="197"/>
      <c r="W620" s="185"/>
      <c r="X620" s="141" t="str">
        <f>IF(B622="","",B622)</f>
        <v/>
      </c>
      <c r="Z620" s="187"/>
      <c r="AA620" s="187"/>
    </row>
    <row r="621" spans="1:27" s="186" customFormat="1" ht="15" customHeight="1">
      <c r="A621" s="215"/>
      <c r="B621" s="301"/>
      <c r="C621" s="243" t="s">
        <v>54</v>
      </c>
      <c r="D621" s="239"/>
      <c r="E621" s="195">
        <f>SUMIF(Formatos!A:A,'Memória TOTAL'!X616,Formatos!S:S)</f>
        <v>0</v>
      </c>
      <c r="F621" s="238"/>
      <c r="G621" s="238"/>
      <c r="H621" s="148" t="s">
        <v>54</v>
      </c>
      <c r="I621" s="148" t="s">
        <v>55</v>
      </c>
      <c r="J621" s="196"/>
      <c r="K621" s="195" t="s">
        <v>1076</v>
      </c>
      <c r="L621" s="144"/>
      <c r="M621" s="195"/>
      <c r="N621" s="195" t="s">
        <v>22</v>
      </c>
      <c r="O621" s="149" t="s">
        <v>48</v>
      </c>
      <c r="P621" s="149" t="s">
        <v>49</v>
      </c>
      <c r="Q621" s="150" t="s">
        <v>50</v>
      </c>
      <c r="R621" s="149" t="s">
        <v>54</v>
      </c>
      <c r="S621" s="149" t="s">
        <v>55</v>
      </c>
      <c r="T621" s="195"/>
      <c r="U621" s="195"/>
      <c r="V621" s="197"/>
      <c r="W621" s="185"/>
      <c r="X621" s="141" t="s">
        <v>524</v>
      </c>
      <c r="Z621" s="187"/>
      <c r="AA621" s="187"/>
    </row>
    <row r="622" spans="1:27" s="186" customFormat="1" ht="15" customHeight="1" thickBot="1">
      <c r="A622" s="215"/>
      <c r="B622" s="302"/>
      <c r="C622" s="243" t="s">
        <v>55</v>
      </c>
      <c r="D622" s="239"/>
      <c r="E622" s="195">
        <f>SUMIF(Formatos!A:A,'Memória TOTAL'!X620,Formatos!S:S)</f>
        <v>0</v>
      </c>
      <c r="F622" s="195"/>
      <c r="G622" s="195"/>
      <c r="H622" s="304" t="e">
        <f>(1/(-(N622+N615)*(Q622+N615)+(O622+N615)*(P622+N615)))*3.1416*(-P615*(Q622+N615)+Q615*(P622+N615))</f>
        <v>#DIV/0!</v>
      </c>
      <c r="I622" s="304" t="e">
        <f>((P615*PI())-(H622*(N622+N615)))/(P622+N615)</f>
        <v>#DIV/0!</v>
      </c>
      <c r="J622" s="196"/>
      <c r="K622" s="195">
        <f>(P615*PI()/360*R615)^2*PI()/4</f>
        <v>0</v>
      </c>
      <c r="L622" s="144"/>
      <c r="M622" s="195"/>
      <c r="N622" s="195">
        <f>E615</f>
        <v>0</v>
      </c>
      <c r="O622" s="151">
        <f>F615</f>
        <v>0</v>
      </c>
      <c r="P622" s="151">
        <f>E619</f>
        <v>0</v>
      </c>
      <c r="Q622" s="157">
        <f>F619</f>
        <v>0</v>
      </c>
      <c r="R622" s="151" t="e">
        <f>ROUNDUP(K622/E615/H615*H623,0)</f>
        <v>#DIV/0!</v>
      </c>
      <c r="S622" s="151" t="e">
        <f>ROUNDUP(K622/E619/H619*I623,)</f>
        <v>#DIV/0!</v>
      </c>
      <c r="T622" s="195"/>
      <c r="U622" s="195"/>
      <c r="V622" s="197"/>
      <c r="W622" s="231"/>
      <c r="X622" s="141"/>
      <c r="Z622" s="187"/>
      <c r="AA622" s="187"/>
    </row>
    <row r="623" spans="1:27" s="155" customFormat="1" ht="15" customHeight="1" thickBot="1">
      <c r="A623" s="248"/>
      <c r="B623" s="247" t="s">
        <v>676</v>
      </c>
      <c r="C623" s="236"/>
      <c r="D623" s="195"/>
      <c r="E623" s="195"/>
      <c r="F623" s="195"/>
      <c r="G623" s="195"/>
      <c r="H623" s="304" t="e">
        <f>H622/(H622+I622)</f>
        <v>#DIV/0!</v>
      </c>
      <c r="I623" s="304" t="e">
        <f>I622/(H622+I622)</f>
        <v>#DIV/0!</v>
      </c>
      <c r="J623" s="196"/>
      <c r="K623" s="196"/>
      <c r="L623" s="195"/>
      <c r="M623" s="195"/>
      <c r="N623" s="195"/>
      <c r="O623" s="195"/>
      <c r="P623" s="195"/>
      <c r="Q623" s="195"/>
      <c r="R623" s="195"/>
      <c r="S623" s="195"/>
      <c r="T623" s="151"/>
      <c r="U623" s="151"/>
      <c r="V623" s="152"/>
      <c r="W623" s="153"/>
      <c r="X623" s="154"/>
      <c r="Z623" s="156"/>
      <c r="AA623" s="156"/>
    </row>
    <row r="624" spans="1:27" s="186" customFormat="1" ht="15" customHeight="1">
      <c r="A624" s="215"/>
      <c r="B624" s="210"/>
      <c r="C624" s="298"/>
      <c r="D624" s="195"/>
      <c r="E624" s="135"/>
      <c r="F624" s="135"/>
      <c r="G624" s="135"/>
      <c r="H624" s="135"/>
      <c r="I624" s="232"/>
      <c r="J624" s="232"/>
      <c r="K624" s="232"/>
      <c r="L624" s="195"/>
      <c r="M624" s="195"/>
      <c r="N624" s="195"/>
      <c r="O624" s="144"/>
      <c r="P624" s="195"/>
      <c r="Q624" s="195"/>
      <c r="R624" s="195"/>
      <c r="S624" s="195"/>
      <c r="T624" s="195"/>
      <c r="U624" s="195"/>
      <c r="V624" s="197"/>
      <c r="W624" s="185"/>
      <c r="X624" s="141"/>
      <c r="Z624" s="187"/>
      <c r="AA624" s="187"/>
    </row>
    <row r="625" spans="1:27" s="186" customFormat="1" ht="15" customHeight="1">
      <c r="A625" s="215"/>
      <c r="B625" s="210"/>
      <c r="C625" s="298"/>
      <c r="D625" s="195"/>
      <c r="E625" s="135"/>
      <c r="F625" s="135"/>
      <c r="G625" s="135"/>
      <c r="H625" s="135"/>
      <c r="I625" s="232"/>
      <c r="J625" s="232"/>
      <c r="K625" s="232"/>
      <c r="L625" s="195"/>
      <c r="M625" s="195" t="e" vm="1">
        <v>#VALUE!</v>
      </c>
      <c r="N625" s="195"/>
      <c r="O625" s="144"/>
      <c r="P625" s="195"/>
      <c r="Q625" s="195"/>
      <c r="R625" s="195"/>
      <c r="S625" s="195"/>
      <c r="T625" s="195"/>
      <c r="U625" s="195"/>
      <c r="V625" s="197"/>
      <c r="W625" s="185"/>
      <c r="X625" s="141"/>
      <c r="Z625" s="187"/>
      <c r="AA625" s="187"/>
    </row>
    <row r="626" spans="1:27" s="186" customFormat="1" ht="15" customHeight="1" thickBot="1">
      <c r="A626" s="215"/>
      <c r="B626" s="279" t="s">
        <v>1010</v>
      </c>
      <c r="C626" s="280"/>
      <c r="D626" s="281"/>
      <c r="E626" s="281"/>
      <c r="F626" s="281"/>
      <c r="G626" s="281"/>
      <c r="H626" s="281"/>
      <c r="I626" s="281"/>
      <c r="J626" s="282"/>
      <c r="K626" s="282"/>
      <c r="L626" s="283"/>
      <c r="M626" s="281"/>
      <c r="N626" s="281"/>
      <c r="O626" s="281"/>
      <c r="P626" s="281"/>
      <c r="Q626" s="281"/>
      <c r="R626" s="281"/>
      <c r="S626" s="284"/>
      <c r="T626" s="281"/>
      <c r="U626" s="281" t="s">
        <v>678</v>
      </c>
      <c r="V626" s="285" t="s">
        <v>27</v>
      </c>
      <c r="W626" s="286"/>
      <c r="X626" s="287"/>
      <c r="Z626" s="187"/>
      <c r="AA626" s="187"/>
    </row>
    <row r="627" spans="1:27" s="186" customFormat="1" ht="15" customHeight="1" thickBot="1">
      <c r="A627" s="215"/>
      <c r="B627" s="210"/>
      <c r="C627" s="133">
        <f>SUMIF(Densidades!A:A,'Memória TOTAL'!X627,Densidades!B:B)</f>
        <v>0</v>
      </c>
      <c r="D627" s="134">
        <f>SUMIF(Densidades!A:A,'Memória TOTAL'!X627,Densidades!C:C)</f>
        <v>0</v>
      </c>
      <c r="E627" s="134" t="str">
        <f>IF(I627=15,"FIRECLAY MORTAR",IF(I627=16,"ALUMINA MORTAR",IF(I627=17,"BASIC MORTAR",IF(I627=18,"MORTAR","-"))))</f>
        <v>-</v>
      </c>
      <c r="F627" s="134" t="str">
        <f>IF(I627=15,"FIRECLAY MORTAR",IF(I627=16,"ALUMINA MORTAR",IF(I627=17,"BASIC MORTAR",IF(I627=18,"MORTAR","-"))))</f>
        <v>-</v>
      </c>
      <c r="G627" s="134" t="str">
        <f>IF(I627=15,"FIRECLAY MORTAR",IF(I627=16,"ALUMINA MORTAR",IF(I627=17,"BASIC MORTAR",IF(I627=18,"MORTAR","-"))))</f>
        <v>-</v>
      </c>
      <c r="H627" s="134" t="str">
        <f>IF(I627=15,"FIRECLAY MORTAR",IF(I627=16,"ALUMINA MORTAR",IF(I627=17,"BASIC MORTAR",IF(I627=18,"MORTAR","-"))))</f>
        <v>-</v>
      </c>
      <c r="I627" s="134">
        <f>SUMIF(Densidades!A:A,'Memória TOTAL'!X627,Densidades!G:G)</f>
        <v>0</v>
      </c>
      <c r="J627" s="136">
        <f>SUMIF(Formatos!A:A,'Memória TOTAL'!X628,Formatos!G:G)</f>
        <v>0</v>
      </c>
      <c r="K627" s="137">
        <f>SUMIF(Densidades!A:A,'Memória TOTAL'!X627,Densidades!I:I)</f>
        <v>0</v>
      </c>
      <c r="L627" s="188">
        <v>0</v>
      </c>
      <c r="M627" s="189"/>
      <c r="N627" s="189"/>
      <c r="O627" s="189"/>
      <c r="P627" s="189"/>
      <c r="Q627" s="189"/>
      <c r="R627" s="189"/>
      <c r="S627" s="189"/>
      <c r="T627" s="190"/>
      <c r="U627" s="290">
        <v>0.06</v>
      </c>
      <c r="V627" s="192" t="e">
        <f>(W615*J615*C627+W619*J619*C627)*U627</f>
        <v>#VALUE!</v>
      </c>
      <c r="W627" s="193" t="str">
        <f>IF(C627=0,"",ROUNDUP(SUM(V627:V628)*(1+L627)/D627,2)*D627)</f>
        <v/>
      </c>
      <c r="X627" s="263"/>
      <c r="Z627" s="187"/>
      <c r="AA627" s="187"/>
    </row>
    <row r="628" spans="1:27" s="186" customFormat="1" ht="15" customHeight="1">
      <c r="A628" s="215"/>
      <c r="B628" s="210"/>
      <c r="C628" s="133"/>
      <c r="D628" s="195"/>
      <c r="E628" s="195"/>
      <c r="F628" s="195"/>
      <c r="G628" s="195"/>
      <c r="H628" s="195"/>
      <c r="I628" s="195"/>
      <c r="J628" s="196"/>
      <c r="K628" s="196"/>
      <c r="L628" s="144"/>
      <c r="M628" s="195"/>
      <c r="N628" s="195"/>
      <c r="O628" s="195"/>
      <c r="P628" s="195"/>
      <c r="Q628" s="195"/>
      <c r="R628" s="195"/>
      <c r="S628" s="195"/>
      <c r="T628" s="195"/>
      <c r="U628" s="195"/>
      <c r="V628" s="197"/>
      <c r="W628" s="185"/>
      <c r="X628" s="141" t="str">
        <f>IF(AND(H627="-",G627="-",F627="-"),E627,IF(AND(H627="-",G627="-",E627="-"),F627,IF(AND(H627="-",F627="-",E627="-"),G627,H627)))</f>
        <v>-</v>
      </c>
      <c r="Z628" s="187"/>
      <c r="AA628" s="187"/>
    </row>
    <row r="629" spans="1:27" s="186" customFormat="1" ht="15" customHeight="1">
      <c r="A629" s="215"/>
      <c r="B629" s="213"/>
      <c r="C629" s="133"/>
      <c r="D629" s="195"/>
      <c r="E629" s="195"/>
      <c r="F629" s="195"/>
      <c r="G629" s="195"/>
      <c r="H629" s="195"/>
      <c r="I629" s="195"/>
      <c r="J629" s="196"/>
      <c r="K629" s="196"/>
      <c r="L629" s="144"/>
      <c r="M629" s="195"/>
      <c r="N629" s="195"/>
      <c r="O629" s="195"/>
      <c r="P629" s="195"/>
      <c r="Q629" s="195"/>
      <c r="R629" s="195"/>
      <c r="S629" s="195"/>
      <c r="T629" s="195"/>
      <c r="U629" s="195"/>
      <c r="V629" s="197"/>
      <c r="W629" s="185"/>
      <c r="X629" s="141" t="s">
        <v>2</v>
      </c>
      <c r="Z629" s="187"/>
      <c r="AA629" s="187"/>
    </row>
    <row r="630" spans="1:27" ht="15" customHeight="1">
      <c r="A630" s="215"/>
      <c r="B630" s="131"/>
      <c r="C630" s="169"/>
      <c r="D630" s="170"/>
      <c r="E630" s="170"/>
      <c r="F630" s="170"/>
      <c r="G630" s="170"/>
      <c r="H630" s="170"/>
      <c r="I630" s="170"/>
      <c r="J630" s="171"/>
      <c r="K630" s="171"/>
      <c r="L630" s="172"/>
      <c r="M630" s="170"/>
      <c r="N630" s="170"/>
      <c r="O630" s="170"/>
      <c r="P630" s="170"/>
      <c r="Q630" s="170"/>
      <c r="R630" s="170"/>
      <c r="S630" s="170"/>
      <c r="T630" s="170"/>
      <c r="U630" s="170"/>
      <c r="V630" s="173"/>
      <c r="W630" s="174"/>
      <c r="X630" s="175"/>
    </row>
    <row r="631" spans="1:27" s="186" customFormat="1" ht="15" customHeight="1" thickBot="1">
      <c r="A631" s="215"/>
      <c r="B631" s="279" t="s">
        <v>1011</v>
      </c>
      <c r="C631" s="280"/>
      <c r="D631" s="281"/>
      <c r="E631" s="281"/>
      <c r="F631" s="281"/>
      <c r="G631" s="281"/>
      <c r="H631" s="281"/>
      <c r="I631" s="281"/>
      <c r="J631" s="282"/>
      <c r="K631" s="282"/>
      <c r="L631" s="283"/>
      <c r="M631" s="281"/>
      <c r="N631" s="281"/>
      <c r="O631" s="281"/>
      <c r="P631" s="281"/>
      <c r="Q631" s="281"/>
      <c r="R631" s="281" t="s">
        <v>636</v>
      </c>
      <c r="S631" s="284" t="s">
        <v>637</v>
      </c>
      <c r="T631" s="281" t="s">
        <v>638</v>
      </c>
      <c r="U631" s="281" t="s">
        <v>38</v>
      </c>
      <c r="V631" s="285" t="s">
        <v>27</v>
      </c>
      <c r="W631" s="286"/>
      <c r="X631" s="287"/>
      <c r="Z631" s="187"/>
      <c r="AA631" s="187"/>
    </row>
    <row r="632" spans="1:27" s="186" customFormat="1" ht="15" customHeight="1" thickBot="1">
      <c r="A632" s="215"/>
      <c r="B632" s="210"/>
      <c r="C632" s="133">
        <f>SUMIF(Densidades!A:A,'Memória TOTAL'!X632,Densidades!B:B)</f>
        <v>0</v>
      </c>
      <c r="D632" s="134">
        <f>SUMIF(Densidades!A:A,'Memória TOTAL'!X632,Densidades!C:C)</f>
        <v>0</v>
      </c>
      <c r="E632" s="134" t="str">
        <f>IF(I632=15,"FIRECLAY MORTAR",IF(I632=16,"ALUMINA MORTAR",IF(I632=17,"BASIC MORTAR",IF(I632=18,"MORTAR","-"))))</f>
        <v>-</v>
      </c>
      <c r="F632" s="134" t="str">
        <f>IF(I632=15,"FIRECLAY MORTAR",IF(I632=16,"ALUMINA MORTAR",IF(I632=17,"BASIC MORTAR",IF(I632=18,"MORTAR","-"))))</f>
        <v>-</v>
      </c>
      <c r="G632" s="134" t="str">
        <f>IF(I632=15,"FIRECLAY MORTAR",IF(I632=16,"ALUMINA MORTAR",IF(I632=17,"BASIC MORTAR",IF(I632=18,"MORTAR","-"))))</f>
        <v>-</v>
      </c>
      <c r="H632" s="134" t="str">
        <f>IF(I632=15,"FIRECLAY MORTAR",IF(I632=16,"ALUMINA MORTAR",IF(I632=17,"BASIC MORTAR",IF(I632=18,"MORTAR","-"))))</f>
        <v>-</v>
      </c>
      <c r="I632" s="134">
        <f>SUMIF(Densidades!A:A,'Memória TOTAL'!X632,Densidades!G:G)</f>
        <v>0</v>
      </c>
      <c r="J632" s="136">
        <f>SUMIF(Formatos!A:A,'Memória TOTAL'!X633,Formatos!G:G)</f>
        <v>0</v>
      </c>
      <c r="K632" s="222">
        <f>SUMIF(Densidades!A:A,'Memória TOTAL'!X632,Densidades!I:I)</f>
        <v>0</v>
      </c>
      <c r="L632" s="188">
        <v>0</v>
      </c>
      <c r="M632" s="189"/>
      <c r="N632" s="189"/>
      <c r="O632" s="189"/>
      <c r="P632" s="189"/>
      <c r="Q632" s="189"/>
      <c r="R632" s="190">
        <f>((G615*H615)+(G615*E615)+(H615*E615))/1000000</f>
        <v>0</v>
      </c>
      <c r="S632" s="259">
        <v>2</v>
      </c>
      <c r="T632" s="190">
        <f>R632*S632</f>
        <v>0</v>
      </c>
      <c r="U632" s="191">
        <f>SUM(W615:W620)</f>
        <v>0</v>
      </c>
      <c r="V632" s="192">
        <f>(T632*C632*(1+L632))*U632</f>
        <v>0</v>
      </c>
      <c r="W632" s="140" t="str">
        <f>IF(C632=0,"",ROUNDUP(SUM(V632:V633)*(1+L632)/D632,2)*D632)</f>
        <v/>
      </c>
      <c r="X632" s="263"/>
      <c r="Z632" s="187"/>
      <c r="AA632" s="187"/>
    </row>
    <row r="633" spans="1:27" s="186" customFormat="1" ht="15" customHeight="1">
      <c r="A633" s="215"/>
      <c r="B633" s="210"/>
      <c r="C633" s="133"/>
      <c r="D633" s="195"/>
      <c r="E633" s="195"/>
      <c r="F633" s="195"/>
      <c r="G633" s="195"/>
      <c r="H633" s="195"/>
      <c r="I633" s="195"/>
      <c r="J633" s="196"/>
      <c r="K633" s="196"/>
      <c r="L633" s="144"/>
      <c r="M633" s="195"/>
      <c r="N633" s="195"/>
      <c r="O633" s="195"/>
      <c r="P633" s="195"/>
      <c r="Q633" s="195"/>
      <c r="R633" s="195"/>
      <c r="S633" s="195"/>
      <c r="T633" s="195"/>
      <c r="U633" s="195"/>
      <c r="V633" s="197"/>
      <c r="W633" s="185"/>
      <c r="X633" s="141" t="str">
        <f>IF(AND(H632="-",G632="-",F632="-"),E632,IF(AND(H632="-",G632="-",E632="-"),F632,IF(AND(H632="-",F632="-",E632="-"),G632,H632)))</f>
        <v>-</v>
      </c>
      <c r="Z633" s="187"/>
      <c r="AA633" s="187"/>
    </row>
    <row r="634" spans="1:27" s="186" customFormat="1" ht="15" customHeight="1">
      <c r="A634" s="215"/>
      <c r="B634" s="213"/>
      <c r="C634" s="133"/>
      <c r="D634" s="195"/>
      <c r="E634" s="195"/>
      <c r="F634" s="195"/>
      <c r="G634" s="195"/>
      <c r="H634" s="195"/>
      <c r="I634" s="195"/>
      <c r="J634" s="196"/>
      <c r="K634" s="196"/>
      <c r="L634" s="144"/>
      <c r="M634" s="195"/>
      <c r="N634" s="195"/>
      <c r="O634" s="195"/>
      <c r="P634" s="195"/>
      <c r="Q634" s="195"/>
      <c r="R634" s="195"/>
      <c r="S634" s="195"/>
      <c r="T634" s="195"/>
      <c r="U634" s="195"/>
      <c r="V634" s="197"/>
      <c r="W634" s="185"/>
      <c r="X634" s="141" t="s">
        <v>2</v>
      </c>
      <c r="Z634" s="187"/>
      <c r="AA634" s="187"/>
    </row>
    <row r="635" spans="1:27" s="186" customFormat="1" ht="15" customHeight="1">
      <c r="A635" s="215"/>
      <c r="B635" s="210"/>
      <c r="C635" s="298"/>
      <c r="D635" s="195"/>
      <c r="E635" s="135"/>
      <c r="F635" s="135"/>
      <c r="G635" s="135"/>
      <c r="H635" s="135"/>
      <c r="I635" s="232"/>
      <c r="J635" s="232"/>
      <c r="K635" s="232"/>
      <c r="L635" s="195"/>
      <c r="M635" s="195"/>
      <c r="N635" s="195"/>
      <c r="O635" s="144"/>
      <c r="P635" s="195"/>
      <c r="Q635" s="195"/>
      <c r="R635" s="195"/>
      <c r="S635" s="195"/>
      <c r="T635" s="195"/>
      <c r="U635" s="195"/>
      <c r="V635" s="197"/>
      <c r="W635" s="185"/>
      <c r="X635" s="141"/>
      <c r="Z635" s="187"/>
      <c r="AA635" s="187"/>
    </row>
    <row r="636" spans="1:27" s="186" customFormat="1" ht="15" customHeight="1" thickBot="1">
      <c r="A636" s="215"/>
      <c r="B636" s="509"/>
      <c r="C636" s="509"/>
      <c r="D636" s="512"/>
      <c r="E636" s="512"/>
      <c r="F636" s="512"/>
      <c r="G636" s="512"/>
      <c r="H636" s="512"/>
      <c r="I636" s="512"/>
      <c r="J636" s="512"/>
      <c r="K636" s="512"/>
      <c r="L636" s="512"/>
      <c r="M636" s="512"/>
      <c r="N636" s="512"/>
      <c r="O636" s="512"/>
      <c r="P636" s="512"/>
      <c r="Q636" s="512"/>
      <c r="R636" s="512"/>
      <c r="S636" s="512"/>
      <c r="T636" s="512"/>
      <c r="U636" s="512"/>
      <c r="V636" s="512"/>
      <c r="W636" s="512"/>
      <c r="X636" s="513"/>
      <c r="Z636" s="187"/>
      <c r="AA636" s="187"/>
    </row>
    <row r="637" spans="1:27" ht="15" customHeight="1" thickBot="1">
      <c r="A637" s="278"/>
      <c r="B637" s="272" t="s">
        <v>642</v>
      </c>
      <c r="C637" s="273" t="s">
        <v>101</v>
      </c>
      <c r="D637" s="274" t="s">
        <v>102</v>
      </c>
      <c r="E637" s="274"/>
      <c r="F637" s="274"/>
      <c r="G637" s="274"/>
      <c r="H637" s="274"/>
      <c r="I637" s="274"/>
      <c r="J637" s="274" t="s">
        <v>103</v>
      </c>
      <c r="K637" s="274" t="s">
        <v>37</v>
      </c>
      <c r="L637" s="274" t="s">
        <v>39</v>
      </c>
      <c r="M637" s="274" t="s">
        <v>62</v>
      </c>
      <c r="N637" s="274" t="s">
        <v>106</v>
      </c>
      <c r="O637" s="274" t="s">
        <v>68</v>
      </c>
      <c r="P637" s="274" t="s">
        <v>69</v>
      </c>
      <c r="Q637" s="274" t="s">
        <v>107</v>
      </c>
      <c r="R637" s="274" t="s">
        <v>53</v>
      </c>
      <c r="S637" s="274" t="s">
        <v>40</v>
      </c>
      <c r="T637" s="274" t="s">
        <v>26</v>
      </c>
      <c r="U637" s="274" t="s">
        <v>38</v>
      </c>
      <c r="V637" s="275" t="s">
        <v>27</v>
      </c>
      <c r="W637" s="276"/>
      <c r="X637" s="277"/>
    </row>
    <row r="638" spans="1:27" s="186" customFormat="1" ht="15" customHeight="1" thickBot="1">
      <c r="A638" s="215"/>
      <c r="B638" s="210"/>
      <c r="C638" s="133">
        <f>SUMIF(Densidades!A:A,'Memória TOTAL'!X638,Densidades!B:B)</f>
        <v>0</v>
      </c>
      <c r="D638" s="134">
        <f>SUMIF(Densidades!A:A,'Memória TOTAL'!X638,Densidades!C:C)</f>
        <v>0</v>
      </c>
      <c r="E638" s="134"/>
      <c r="F638" s="134"/>
      <c r="G638" s="134"/>
      <c r="H638" s="134"/>
      <c r="I638" s="134"/>
      <c r="J638" s="136">
        <f>SUMIF(Formatos!A:A,'Memória TOTAL'!X639,Formatos!G:G)</f>
        <v>0</v>
      </c>
      <c r="K638" s="222">
        <f>SUMIF(Densidades!A:A,'Memória TOTAL'!X638,Densidades!I:I)</f>
        <v>0</v>
      </c>
      <c r="L638" s="223">
        <v>0</v>
      </c>
      <c r="M638" s="195"/>
      <c r="N638" s="195"/>
      <c r="O638" s="195"/>
      <c r="P638" s="195"/>
      <c r="Q638" s="195"/>
      <c r="R638" s="195"/>
      <c r="S638" s="195"/>
      <c r="T638" s="195"/>
      <c r="U638" s="195"/>
      <c r="V638" s="197"/>
      <c r="W638" s="266"/>
      <c r="X638" s="263"/>
      <c r="Z638" s="187"/>
      <c r="AA638" s="187"/>
    </row>
    <row r="639" spans="1:27" s="186" customFormat="1" ht="15" customHeight="1" thickBot="1">
      <c r="A639" s="215"/>
      <c r="B639" s="210"/>
      <c r="C639" s="200"/>
      <c r="D639" s="195"/>
      <c r="E639" s="195"/>
      <c r="F639" s="195"/>
      <c r="G639" s="195"/>
      <c r="H639" s="195"/>
      <c r="I639" s="195"/>
      <c r="J639" s="196"/>
      <c r="K639" s="196"/>
      <c r="L639" s="144"/>
      <c r="M639" s="195"/>
      <c r="N639" s="195"/>
      <c r="O639" s="195"/>
      <c r="P639" s="195"/>
      <c r="Q639" s="195"/>
      <c r="R639" s="195"/>
      <c r="S639" s="195"/>
      <c r="T639" s="195"/>
      <c r="U639" s="195"/>
      <c r="V639" s="197"/>
      <c r="W639" s="185"/>
      <c r="X639" s="263"/>
      <c r="Z639" s="187"/>
      <c r="AA639" s="187"/>
    </row>
    <row r="640" spans="1:27" s="186" customFormat="1" ht="15" customHeight="1">
      <c r="A640" s="215"/>
      <c r="B640" s="213"/>
      <c r="C640" s="200"/>
      <c r="D640" s="195"/>
      <c r="E640" s="195"/>
      <c r="F640" s="195"/>
      <c r="G640" s="195"/>
      <c r="H640" s="195"/>
      <c r="I640" s="195"/>
      <c r="J640" s="196"/>
      <c r="K640" s="196"/>
      <c r="L640" s="144"/>
      <c r="M640" s="195"/>
      <c r="N640" s="195"/>
      <c r="O640" s="195"/>
      <c r="P640" s="195"/>
      <c r="Q640" s="195"/>
      <c r="R640" s="195"/>
      <c r="S640" s="195"/>
      <c r="T640" s="195"/>
      <c r="U640" s="195"/>
      <c r="V640" s="197"/>
      <c r="W640" s="185"/>
      <c r="X640" s="141" t="s">
        <v>524</v>
      </c>
      <c r="Z640" s="187"/>
      <c r="AA640" s="187"/>
    </row>
    <row r="641" spans="1:27" s="186" customFormat="1" ht="15" customHeight="1">
      <c r="A641" s="215"/>
      <c r="B641" s="210"/>
      <c r="C641" s="298"/>
      <c r="D641" s="195"/>
      <c r="E641" s="135"/>
      <c r="F641" s="135"/>
      <c r="G641" s="135"/>
      <c r="H641" s="135"/>
      <c r="I641" s="232"/>
      <c r="J641" s="232"/>
      <c r="K641" s="232"/>
      <c r="L641" s="195"/>
      <c r="M641" s="195"/>
      <c r="N641" s="195"/>
      <c r="O641" s="144"/>
      <c r="P641" s="195"/>
      <c r="Q641" s="195"/>
      <c r="R641" s="195"/>
      <c r="S641" s="195"/>
      <c r="T641" s="195"/>
      <c r="U641" s="195"/>
      <c r="V641" s="197"/>
      <c r="W641" s="185"/>
      <c r="X641" s="141"/>
      <c r="Z641" s="187"/>
      <c r="AA641" s="187"/>
    </row>
    <row r="642" spans="1:27" s="186" customFormat="1" ht="15" customHeight="1" thickBot="1">
      <c r="A642" s="215"/>
      <c r="B642" s="509"/>
      <c r="C642" s="509"/>
      <c r="D642" s="512"/>
      <c r="E642" s="512"/>
      <c r="F642" s="512"/>
      <c r="G642" s="512"/>
      <c r="H642" s="512"/>
      <c r="I642" s="512"/>
      <c r="J642" s="512"/>
      <c r="K642" s="512"/>
      <c r="L642" s="512"/>
      <c r="M642" s="512"/>
      <c r="N642" s="512"/>
      <c r="O642" s="512"/>
      <c r="P642" s="512"/>
      <c r="Q642" s="512"/>
      <c r="R642" s="512"/>
      <c r="S642" s="512"/>
      <c r="T642" s="512"/>
      <c r="U642" s="512"/>
      <c r="V642" s="512"/>
      <c r="W642" s="512"/>
      <c r="X642" s="513"/>
      <c r="Z642" s="187"/>
      <c r="AA642" s="187"/>
    </row>
    <row r="643" spans="1:27" s="186" customFormat="1" ht="15" customHeight="1" thickBot="1">
      <c r="A643" s="305" t="s">
        <v>299</v>
      </c>
      <c r="B643" s="306"/>
      <c r="C643" s="307"/>
      <c r="D643" s="307"/>
      <c r="E643" s="307"/>
      <c r="F643" s="307"/>
      <c r="G643" s="307"/>
      <c r="H643" s="307"/>
      <c r="I643" s="307"/>
      <c r="J643" s="308"/>
      <c r="K643" s="308"/>
      <c r="L643" s="309"/>
      <c r="M643" s="307"/>
      <c r="N643" s="307"/>
      <c r="O643" s="310"/>
      <c r="P643" s="311"/>
      <c r="Q643" s="310"/>
      <c r="R643" s="307"/>
      <c r="S643" s="307"/>
      <c r="T643" s="307"/>
      <c r="U643" s="307"/>
      <c r="V643" s="312"/>
      <c r="W643" s="313"/>
      <c r="X643" s="314"/>
      <c r="Z643" s="187"/>
      <c r="AA643" s="187"/>
    </row>
    <row r="644" spans="1:27" s="186" customFormat="1" ht="15" customHeight="1">
      <c r="A644" s="216"/>
      <c r="B644" s="217"/>
      <c r="C644" s="217"/>
      <c r="D644" s="217"/>
      <c r="E644" s="217"/>
      <c r="F644" s="217"/>
      <c r="G644" s="217"/>
      <c r="H644" s="217"/>
      <c r="I644" s="217"/>
      <c r="J644" s="217"/>
      <c r="K644" s="217"/>
      <c r="L644" s="217"/>
      <c r="M644" s="217"/>
      <c r="N644" s="217"/>
      <c r="O644" s="217"/>
      <c r="P644" s="217"/>
      <c r="Q644" s="217"/>
      <c r="R644" s="217"/>
      <c r="S644" s="217"/>
      <c r="T644" s="217"/>
      <c r="U644" s="217"/>
      <c r="V644" s="217"/>
      <c r="W644" s="218"/>
      <c r="X644" s="218"/>
      <c r="Z644" s="187"/>
      <c r="AA644" s="187"/>
    </row>
    <row r="645" spans="1:27" s="186" customFormat="1" ht="15" customHeight="1">
      <c r="A645" s="216"/>
      <c r="B645" s="217"/>
      <c r="C645" s="217"/>
      <c r="D645" s="217"/>
      <c r="E645" s="217"/>
      <c r="F645" s="217"/>
      <c r="G645" s="217"/>
      <c r="H645" s="217"/>
      <c r="I645" s="217"/>
      <c r="J645" s="217"/>
      <c r="K645" s="217"/>
      <c r="L645" s="217"/>
      <c r="M645" s="217"/>
      <c r="N645" s="217"/>
      <c r="O645" s="217"/>
      <c r="P645" s="217"/>
      <c r="Q645" s="217"/>
      <c r="R645" s="217"/>
      <c r="S645" s="217"/>
      <c r="T645" s="217"/>
      <c r="U645" s="217"/>
      <c r="V645" s="217"/>
      <c r="W645" s="218"/>
      <c r="X645" s="218"/>
      <c r="Z645" s="187"/>
      <c r="AA645" s="187"/>
    </row>
    <row r="646" spans="1:27" s="186" customFormat="1" ht="15" customHeight="1">
      <c r="A646" s="216"/>
      <c r="B646" s="217"/>
      <c r="C646" s="217"/>
      <c r="D646" s="217"/>
      <c r="E646" s="217"/>
      <c r="F646" s="217"/>
      <c r="G646" s="217"/>
      <c r="H646" s="217"/>
      <c r="I646" s="217"/>
      <c r="J646" s="217"/>
      <c r="K646" s="217"/>
      <c r="L646" s="217"/>
      <c r="M646" s="217"/>
      <c r="N646" s="217"/>
      <c r="O646" s="217"/>
      <c r="P646" s="217"/>
      <c r="Q646" s="217"/>
      <c r="R646" s="217"/>
      <c r="S646" s="217"/>
      <c r="T646" s="217"/>
      <c r="U646" s="217"/>
      <c r="V646" s="217"/>
      <c r="W646" s="218"/>
      <c r="X646" s="218"/>
      <c r="Z646" s="187"/>
      <c r="AA646" s="187"/>
    </row>
    <row r="647" spans="1:27" s="186" customFormat="1" ht="15" customHeight="1">
      <c r="A647" s="216"/>
      <c r="B647" s="217"/>
      <c r="C647" s="217"/>
      <c r="D647" s="217"/>
      <c r="E647" s="217"/>
      <c r="F647" s="217"/>
      <c r="G647" s="217"/>
      <c r="H647" s="217"/>
      <c r="I647" s="217"/>
      <c r="J647" s="217"/>
      <c r="K647" s="217"/>
      <c r="L647" s="217"/>
      <c r="M647" s="217"/>
      <c r="N647" s="217"/>
      <c r="O647" s="217"/>
      <c r="P647" s="217"/>
      <c r="Q647" s="217"/>
      <c r="R647" s="217"/>
      <c r="S647" s="217"/>
      <c r="T647" s="217"/>
      <c r="U647" s="217"/>
      <c r="V647" s="217"/>
      <c r="W647" s="218"/>
      <c r="X647" s="218"/>
      <c r="Z647" s="187"/>
      <c r="AA647" s="187"/>
    </row>
    <row r="648" spans="1:27" s="186" customFormat="1" ht="15" customHeight="1">
      <c r="A648" s="216"/>
      <c r="B648" s="217"/>
      <c r="C648" s="217"/>
      <c r="D648" s="217"/>
      <c r="E648" s="217"/>
      <c r="F648" s="217"/>
      <c r="G648" s="217"/>
      <c r="H648" s="217"/>
      <c r="I648" s="217"/>
      <c r="J648" s="217"/>
      <c r="K648" s="217"/>
      <c r="L648" s="217"/>
      <c r="M648" s="217"/>
      <c r="N648" s="217"/>
      <c r="O648" s="217"/>
      <c r="P648" s="217"/>
      <c r="Q648" s="217"/>
      <c r="R648" s="217"/>
      <c r="S648" s="217"/>
      <c r="T648" s="217"/>
      <c r="U648" s="217"/>
      <c r="V648" s="217"/>
      <c r="W648" s="218"/>
      <c r="X648" s="218"/>
      <c r="Z648" s="187"/>
      <c r="AA648" s="187"/>
    </row>
    <row r="649" spans="1:27" s="186" customFormat="1" ht="15" customHeight="1">
      <c r="A649" s="216"/>
      <c r="B649" s="217"/>
      <c r="C649" s="217"/>
      <c r="D649" s="217"/>
      <c r="E649" s="217"/>
      <c r="F649" s="217"/>
      <c r="G649" s="217"/>
      <c r="H649" s="217"/>
      <c r="I649" s="217"/>
      <c r="J649" s="217"/>
      <c r="K649" s="217"/>
      <c r="L649" s="217"/>
      <c r="M649" s="217"/>
      <c r="N649" s="217"/>
      <c r="O649" s="217"/>
      <c r="P649" s="217"/>
      <c r="Q649" s="217"/>
      <c r="R649" s="217"/>
      <c r="S649" s="217"/>
      <c r="T649" s="217"/>
      <c r="U649" s="217"/>
      <c r="V649" s="217"/>
      <c r="W649" s="218"/>
      <c r="X649" s="218"/>
      <c r="Z649" s="187"/>
      <c r="AA649" s="187"/>
    </row>
    <row r="650" spans="1:27" s="186" customFormat="1" ht="15" customHeight="1" thickBot="1">
      <c r="A650" s="798" t="s">
        <v>525</v>
      </c>
      <c r="B650" s="798"/>
      <c r="C650" s="798"/>
      <c r="D650" s="798"/>
      <c r="E650" s="798"/>
      <c r="F650" s="798"/>
      <c r="G650" s="798"/>
      <c r="H650" s="798"/>
      <c r="I650" s="798"/>
      <c r="J650" s="798"/>
      <c r="K650" s="798"/>
      <c r="L650" s="798"/>
      <c r="M650" s="798"/>
      <c r="N650" s="798"/>
      <c r="O650" s="798"/>
      <c r="P650" s="798"/>
      <c r="Q650" s="798"/>
      <c r="R650" s="798"/>
      <c r="S650" s="798"/>
      <c r="T650" s="798"/>
      <c r="U650" s="798"/>
      <c r="V650" s="798"/>
      <c r="W650" s="798"/>
      <c r="X650" s="798"/>
      <c r="Z650" s="187"/>
      <c r="AA650" s="187"/>
    </row>
    <row r="651" spans="1:27" ht="15" customHeight="1">
      <c r="A651" s="722"/>
      <c r="B651" s="723" t="s">
        <v>2406</v>
      </c>
      <c r="C651" s="724"/>
      <c r="D651" s="724"/>
      <c r="E651" s="724"/>
      <c r="F651" s="724"/>
      <c r="G651" s="724"/>
      <c r="H651" s="724"/>
      <c r="I651" s="724"/>
      <c r="J651" s="724"/>
      <c r="K651" s="724"/>
      <c r="L651" s="724"/>
      <c r="M651" s="724"/>
      <c r="N651" s="724"/>
      <c r="O651" s="724"/>
      <c r="P651" s="724"/>
      <c r="Q651" s="724"/>
      <c r="R651" s="724"/>
      <c r="S651" s="724"/>
      <c r="T651" s="724"/>
      <c r="U651" s="725"/>
      <c r="V651" s="724"/>
      <c r="W651" s="723"/>
      <c r="X651" s="726"/>
    </row>
    <row r="652" spans="1:27" ht="15" customHeight="1" thickBot="1">
      <c r="A652" s="278"/>
      <c r="B652" s="272" t="str">
        <f>IF(X653="","PLACA ISOLANTE",X653)</f>
        <v>PLACA ISOLANTE</v>
      </c>
      <c r="C652" s="273" t="s">
        <v>101</v>
      </c>
      <c r="D652" s="274" t="s">
        <v>102</v>
      </c>
      <c r="E652" s="274" t="s">
        <v>42</v>
      </c>
      <c r="F652" s="274" t="s">
        <v>42</v>
      </c>
      <c r="G652" s="274" t="s">
        <v>43</v>
      </c>
      <c r="H652" s="274" t="s">
        <v>44</v>
      </c>
      <c r="I652" s="274" t="s">
        <v>47</v>
      </c>
      <c r="J652" s="274" t="s">
        <v>103</v>
      </c>
      <c r="K652" s="274" t="s">
        <v>37</v>
      </c>
      <c r="L652" s="274" t="s">
        <v>39</v>
      </c>
      <c r="M652" s="274" t="s">
        <v>41</v>
      </c>
      <c r="N652" s="274" t="s">
        <v>46</v>
      </c>
      <c r="O652" s="274" t="s">
        <v>67</v>
      </c>
      <c r="P652" s="274" t="s">
        <v>113</v>
      </c>
      <c r="Q652" s="274"/>
      <c r="R652" s="274"/>
      <c r="S652" s="274" t="s">
        <v>70</v>
      </c>
      <c r="T652" s="274" t="s">
        <v>26</v>
      </c>
      <c r="U652" s="274" t="s">
        <v>38</v>
      </c>
      <c r="V652" s="275" t="s">
        <v>27</v>
      </c>
      <c r="W652" s="276"/>
      <c r="X652" s="277"/>
    </row>
    <row r="653" spans="1:27" ht="15" customHeight="1" thickBot="1">
      <c r="A653" s="214"/>
      <c r="B653" s="210"/>
      <c r="C653" s="133">
        <f>SUMIF(Densidades!A:A,'Memória TOTAL'!X653,Densidades!B:B)</f>
        <v>0</v>
      </c>
      <c r="D653" s="134">
        <f>SUMIF(Densidades!A:A,'Memória TOTAL'!X653,Densidades!C:C)</f>
        <v>0</v>
      </c>
      <c r="E653" s="135">
        <f>SUMIF(Formatos!A:A,'Memória TOTAL'!X654,Formatos!E:E)</f>
        <v>0</v>
      </c>
      <c r="F653" s="135">
        <f>SUMIF(Formatos!A:A,'Memória TOTAL'!X654,Formatos!F:F)</f>
        <v>0</v>
      </c>
      <c r="G653" s="135">
        <f>SUMIF(Formatos!A:A,'Memória TOTAL'!X654,Formatos!C:C)</f>
        <v>0</v>
      </c>
      <c r="H653" s="135">
        <f>SUMIF(Formatos!A:A,'Memória TOTAL'!X654,Formatos!D:D)</f>
        <v>0</v>
      </c>
      <c r="I653" s="135">
        <f>SUMIF(Densidades!A:A,'Memória TOTAL'!X653,Densidades!H:H)</f>
        <v>0</v>
      </c>
      <c r="J653" s="136">
        <f>SUMIF(Formatos!A:A,'Memória TOTAL'!X654,Formatos!G:G)</f>
        <v>0</v>
      </c>
      <c r="K653" s="137">
        <f>SUMIF(Densidades!A:A,'Memória TOTAL'!X653,Densidades!I:I)</f>
        <v>0</v>
      </c>
      <c r="L653" s="138">
        <v>0</v>
      </c>
      <c r="M653" s="139"/>
      <c r="N653" s="631"/>
      <c r="O653" s="139"/>
      <c r="P653" s="139"/>
      <c r="Q653" s="139"/>
      <c r="R653" s="139"/>
      <c r="S653" s="139"/>
      <c r="T653" s="139"/>
      <c r="U653" s="139"/>
      <c r="V653" s="145"/>
      <c r="W653" s="193" t="str">
        <f>IF(C653=0,"",ROUNDUP(SUM(V656:V658)*(1+L653),0))</f>
        <v/>
      </c>
      <c r="X653" s="263"/>
      <c r="Y653" s="186"/>
    </row>
    <row r="654" spans="1:27" ht="15" customHeight="1" thickBot="1">
      <c r="A654" s="214"/>
      <c r="B654" s="211"/>
      <c r="C654" s="142"/>
      <c r="D654" s="139"/>
      <c r="E654" s="135">
        <f t="shared" ref="E654:K654" si="105">E653</f>
        <v>0</v>
      </c>
      <c r="F654" s="135">
        <f t="shared" si="105"/>
        <v>0</v>
      </c>
      <c r="G654" s="135">
        <f t="shared" si="105"/>
        <v>0</v>
      </c>
      <c r="H654" s="135">
        <f t="shared" si="105"/>
        <v>0</v>
      </c>
      <c r="I654" s="135">
        <f t="shared" si="105"/>
        <v>0</v>
      </c>
      <c r="J654" s="135">
        <f t="shared" si="105"/>
        <v>0</v>
      </c>
      <c r="K654" s="137">
        <f t="shared" si="105"/>
        <v>0</v>
      </c>
      <c r="L654" s="144"/>
      <c r="M654" s="139"/>
      <c r="N654" s="135">
        <f>N653</f>
        <v>0</v>
      </c>
      <c r="O654" s="139"/>
      <c r="P654" s="139"/>
      <c r="Q654" s="139"/>
      <c r="R654" s="139"/>
      <c r="S654" s="139"/>
      <c r="T654" s="139"/>
      <c r="U654" s="139"/>
      <c r="V654" s="145"/>
      <c r="W654" s="146"/>
      <c r="X654" s="263"/>
      <c r="Y654" s="186"/>
    </row>
    <row r="655" spans="1:27" ht="15" customHeight="1" thickBot="1">
      <c r="A655" s="214"/>
      <c r="B655" s="212" t="s">
        <v>71</v>
      </c>
      <c r="C655" s="142"/>
      <c r="D655" s="139"/>
      <c r="E655" s="135">
        <f t="shared" ref="E655:K655" si="106">E654</f>
        <v>0</v>
      </c>
      <c r="F655" s="135">
        <f t="shared" si="106"/>
        <v>0</v>
      </c>
      <c r="G655" s="135">
        <f t="shared" si="106"/>
        <v>0</v>
      </c>
      <c r="H655" s="135">
        <f t="shared" si="106"/>
        <v>0</v>
      </c>
      <c r="I655" s="135">
        <f t="shared" si="106"/>
        <v>0</v>
      </c>
      <c r="J655" s="135">
        <f t="shared" si="106"/>
        <v>0</v>
      </c>
      <c r="K655" s="137">
        <f t="shared" si="106"/>
        <v>0</v>
      </c>
      <c r="L655" s="144"/>
      <c r="M655" s="139"/>
      <c r="N655" s="135">
        <f>N654</f>
        <v>0</v>
      </c>
      <c r="O655" s="139"/>
      <c r="P655" s="139"/>
      <c r="Q655" s="139"/>
      <c r="R655" s="139"/>
      <c r="S655" s="139"/>
      <c r="T655" s="139"/>
      <c r="U655" s="195" t="s">
        <v>673</v>
      </c>
      <c r="V655" s="145"/>
      <c r="W655" s="146"/>
      <c r="X655" s="147" t="s">
        <v>524</v>
      </c>
    </row>
    <row r="656" spans="1:27" ht="15" customHeight="1" thickBot="1">
      <c r="A656" s="214"/>
      <c r="B656" s="331"/>
      <c r="C656" s="159"/>
      <c r="D656" s="160"/>
      <c r="E656" s="176">
        <f t="shared" ref="E656:K656" si="107">E655</f>
        <v>0</v>
      </c>
      <c r="F656" s="176">
        <f t="shared" si="107"/>
        <v>0</v>
      </c>
      <c r="G656" s="176">
        <f t="shared" si="107"/>
        <v>0</v>
      </c>
      <c r="H656" s="176">
        <f t="shared" si="107"/>
        <v>0</v>
      </c>
      <c r="I656" s="176">
        <f t="shared" si="107"/>
        <v>0</v>
      </c>
      <c r="J656" s="176">
        <f t="shared" si="107"/>
        <v>0</v>
      </c>
      <c r="K656" s="177">
        <f t="shared" si="107"/>
        <v>0</v>
      </c>
      <c r="L656" s="162"/>
      <c r="M656" s="160"/>
      <c r="N656" s="176">
        <f>N655</f>
        <v>0</v>
      </c>
      <c r="O656" s="160"/>
      <c r="P656" s="257"/>
      <c r="Q656" s="160"/>
      <c r="R656" s="160"/>
      <c r="S656" s="257"/>
      <c r="T656" s="178" t="str">
        <f>IF(S656="","-",IF(COUNTIF(E656:H656,P656)&lt;1,"Esp. Errada",ROUNDUP(S656/((G656+N656)*(H656+N656)*((E656+N656)+(F656+N656))/2/(P656+N656)),0)))</f>
        <v>-</v>
      </c>
      <c r="U656" s="257"/>
      <c r="V656" s="179">
        <f>IF(S656="",0,IF(OR(P656=E656,P656=G656,P656=H656),T656*U656,"ESP. ERRADA"))</f>
        <v>0</v>
      </c>
      <c r="W656" s="180"/>
      <c r="X656" s="181"/>
    </row>
    <row r="657" spans="1:27" s="186" customFormat="1" ht="15" customHeight="1" thickBot="1">
      <c r="A657" s="214"/>
      <c r="B657" s="332"/>
      <c r="C657" s="224"/>
      <c r="D657" s="201"/>
      <c r="E657" s="176">
        <f t="shared" ref="E657:K657" si="108">E655</f>
        <v>0</v>
      </c>
      <c r="F657" s="176">
        <f t="shared" si="108"/>
        <v>0</v>
      </c>
      <c r="G657" s="176">
        <f t="shared" si="108"/>
        <v>0</v>
      </c>
      <c r="H657" s="176">
        <f t="shared" si="108"/>
        <v>0</v>
      </c>
      <c r="I657" s="176">
        <f t="shared" si="108"/>
        <v>0</v>
      </c>
      <c r="J657" s="176">
        <f t="shared" si="108"/>
        <v>0</v>
      </c>
      <c r="K657" s="225">
        <f t="shared" si="108"/>
        <v>0</v>
      </c>
      <c r="L657" s="162"/>
      <c r="M657" s="270"/>
      <c r="N657" s="176">
        <f>N655</f>
        <v>0</v>
      </c>
      <c r="O657" s="201"/>
      <c r="P657" s="257"/>
      <c r="Q657" s="201"/>
      <c r="R657" s="201"/>
      <c r="S657" s="201"/>
      <c r="T657" s="227" t="str">
        <f>IF(M657="","-",IF(COUNTIF(E657:H657,P657)&lt;1,"Esp. Errada",ROUNDUP(M657/IF(G657=P657,G657,(G657+N657))/IF(H657=P657,H657,(H657+N657))/IF(E657=P657,E657,(E657+N657)),0)))</f>
        <v>-</v>
      </c>
      <c r="U657" s="257"/>
      <c r="V657" s="179">
        <f>IF(M657="",0,IF(OR(P657=E657,P657=G657,P657=H657),T657*U657,"ESP. ERRADA"))</f>
        <v>0</v>
      </c>
      <c r="W657" s="229"/>
      <c r="X657" s="230"/>
      <c r="Z657" s="187"/>
      <c r="AA657" s="187"/>
    </row>
    <row r="658" spans="1:27" s="186" customFormat="1" ht="15" customHeight="1">
      <c r="A658" s="215"/>
      <c r="B658" s="210"/>
      <c r="C658" s="200"/>
      <c r="D658" s="195"/>
      <c r="E658" s="195"/>
      <c r="F658" s="195"/>
      <c r="G658" s="195"/>
      <c r="H658" s="195"/>
      <c r="I658" s="195"/>
      <c r="J658" s="196"/>
      <c r="K658" s="196"/>
      <c r="L658" s="144"/>
      <c r="M658" s="195"/>
      <c r="N658" s="195"/>
      <c r="O658" s="195"/>
      <c r="P658" s="195"/>
      <c r="Q658" s="195"/>
      <c r="R658" s="195"/>
      <c r="S658" s="195"/>
      <c r="T658" s="195"/>
      <c r="U658" s="195"/>
      <c r="V658" s="197"/>
      <c r="W658" s="185"/>
      <c r="X658" s="141"/>
      <c r="Z658" s="187"/>
      <c r="AA658" s="187"/>
    </row>
    <row r="659" spans="1:27" s="186" customFormat="1" ht="15" customHeight="1" thickBot="1">
      <c r="A659" s="215"/>
      <c r="B659" s="279" t="s">
        <v>1829</v>
      </c>
      <c r="C659" s="280"/>
      <c r="D659" s="281"/>
      <c r="E659" s="281"/>
      <c r="F659" s="281"/>
      <c r="G659" s="281"/>
      <c r="H659" s="281"/>
      <c r="I659" s="281"/>
      <c r="J659" s="282"/>
      <c r="K659" s="282"/>
      <c r="L659" s="283"/>
      <c r="M659" s="281"/>
      <c r="N659" s="281"/>
      <c r="O659" s="281"/>
      <c r="P659" s="281"/>
      <c r="Q659" s="281"/>
      <c r="R659" s="281"/>
      <c r="S659" s="284"/>
      <c r="T659" s="281" t="s">
        <v>638</v>
      </c>
      <c r="U659" s="281" t="s">
        <v>38</v>
      </c>
      <c r="V659" s="285" t="s">
        <v>27</v>
      </c>
      <c r="W659" s="286"/>
      <c r="X659" s="287"/>
      <c r="Z659" s="187"/>
      <c r="AA659" s="187"/>
    </row>
    <row r="660" spans="1:27" s="186" customFormat="1" ht="15" customHeight="1" thickBot="1">
      <c r="A660" s="215"/>
      <c r="B660" s="213" t="s">
        <v>1828</v>
      </c>
      <c r="C660" s="133">
        <f>SUMIF(Densidades!A:A,'Memória TOTAL'!X660,Densidades!B:B)</f>
        <v>0</v>
      </c>
      <c r="D660" s="134">
        <f>SUMIF(Densidades!A:A,'Memória TOTAL'!X660,Densidades!C:C)</f>
        <v>0</v>
      </c>
      <c r="E660" s="134" t="str">
        <f>IF(I660=15,"FIRECLAY MORTAR",IF(I660=16,"ALUMINA MORTAR",IF(I660=17,"BASIC MORTAR",IF(I660=18,"MORTAR","-"))))</f>
        <v>-</v>
      </c>
      <c r="F660" s="134" t="str">
        <f>IF(I660=15,"FIRECLAY MORTAR",IF(I660=16,"ALUMINA MORTAR",IF(I660=17,"BASIC MORTAR",IF(I660=18,"MORTAR","-"))))</f>
        <v>-</v>
      </c>
      <c r="G660" s="134" t="str">
        <f>IF(I660=15,"FIRECLAY MORTAR",IF(I660=16,"ALUMINA MORTAR",IF(I660=17,"BASIC MORTAR",IF(I660=18,"MORTAR","-"))))</f>
        <v>-</v>
      </c>
      <c r="H660" s="134" t="str">
        <f>IF(I660=15,"FIRECLAY MORTAR",IF(I660=16,"ALUMINA MORTAR",IF(I660=17,"BASIC MORTAR",IF(I660=18,"MORTAR","-"))))</f>
        <v>-</v>
      </c>
      <c r="I660" s="134">
        <f>SUMIF(Densidades!A:A,'Memória TOTAL'!X660,Densidades!G:G)</f>
        <v>0</v>
      </c>
      <c r="J660" s="136">
        <f>SUMIF(Formatos!A:A,'Memória TOTAL'!X661,Formatos!G:G)</f>
        <v>0</v>
      </c>
      <c r="K660" s="222">
        <f>SUMIF(Densidades!A:A,'Memória TOTAL'!X660,Densidades!I:I)</f>
        <v>0</v>
      </c>
      <c r="L660" s="188">
        <v>0</v>
      </c>
      <c r="M660" s="189"/>
      <c r="N660" s="189"/>
      <c r="O660" s="189"/>
      <c r="P660" s="189"/>
      <c r="Q660" s="189"/>
      <c r="R660" s="190"/>
      <c r="S660" s="189"/>
      <c r="T660" s="190" t="e">
        <f>(W653*G653*H653)/10^6*2</f>
        <v>#VALUE!</v>
      </c>
      <c r="U660" s="257"/>
      <c r="V660" s="192" t="e">
        <f>T660*U660</f>
        <v>#VALUE!</v>
      </c>
      <c r="W660" s="140" t="str">
        <f>IF(C660=0,"",ROUNDUP(SUM(V660:V661)*(1+L660)/D660,2)*D660)</f>
        <v/>
      </c>
      <c r="X660" s="263"/>
      <c r="Z660" s="187"/>
      <c r="AA660" s="187"/>
    </row>
    <row r="661" spans="1:27" s="186" customFormat="1" ht="15" customHeight="1">
      <c r="A661" s="215"/>
      <c r="B661" s="210"/>
      <c r="C661" s="133"/>
      <c r="D661" s="195"/>
      <c r="E661" s="195"/>
      <c r="F661" s="195"/>
      <c r="G661" s="195"/>
      <c r="H661" s="195"/>
      <c r="I661" s="195"/>
      <c r="J661" s="196"/>
      <c r="K661" s="196"/>
      <c r="L661" s="144"/>
      <c r="M661" s="195"/>
      <c r="N661" s="195"/>
      <c r="O661" s="195"/>
      <c r="P661" s="195"/>
      <c r="Q661" s="195"/>
      <c r="R661" s="195"/>
      <c r="S661" s="195"/>
      <c r="T661" s="195"/>
      <c r="U661" s="195"/>
      <c r="V661" s="197"/>
      <c r="W661" s="185"/>
      <c r="X661" s="141" t="str">
        <f>IF(AND(H660="-",G660="-",F660="-"),E660,IF(AND(H660="-",G660="-",E660="-"),F660,IF(AND(H660="-",F660="-",E660="-"),G660,H660)))</f>
        <v>-</v>
      </c>
      <c r="Z661" s="187"/>
      <c r="AA661" s="187"/>
    </row>
    <row r="662" spans="1:27" s="186" customFormat="1" ht="15" customHeight="1">
      <c r="A662" s="215"/>
      <c r="B662" s="213"/>
      <c r="C662" s="133"/>
      <c r="D662" s="195"/>
      <c r="E662" s="195"/>
      <c r="F662" s="195"/>
      <c r="G662" s="195"/>
      <c r="H662" s="195"/>
      <c r="I662" s="195"/>
      <c r="J662" s="196"/>
      <c r="K662" s="196"/>
      <c r="L662" s="144"/>
      <c r="M662" s="195"/>
      <c r="N662" s="195"/>
      <c r="O662" s="195"/>
      <c r="P662" s="195"/>
      <c r="Q662" s="195"/>
      <c r="R662" s="195"/>
      <c r="S662" s="195"/>
      <c r="T662" s="195"/>
      <c r="U662" s="195"/>
      <c r="V662" s="197"/>
      <c r="W662" s="185"/>
      <c r="X662" s="141" t="s">
        <v>2</v>
      </c>
      <c r="Z662" s="187"/>
      <c r="AA662" s="187"/>
    </row>
    <row r="663" spans="1:27" s="186" customFormat="1" ht="15" customHeight="1">
      <c r="A663" s="215"/>
      <c r="B663" s="213"/>
      <c r="C663" s="133"/>
      <c r="D663" s="195"/>
      <c r="E663" s="195"/>
      <c r="F663" s="195"/>
      <c r="G663" s="195"/>
      <c r="H663" s="195"/>
      <c r="I663" s="195"/>
      <c r="J663" s="196"/>
      <c r="K663" s="196"/>
      <c r="L663" s="144"/>
      <c r="M663" s="195"/>
      <c r="N663" s="195"/>
      <c r="O663" s="195"/>
      <c r="P663" s="195"/>
      <c r="Q663" s="195"/>
      <c r="R663" s="195"/>
      <c r="S663" s="195"/>
      <c r="T663" s="195"/>
      <c r="U663" s="195"/>
      <c r="V663" s="197"/>
      <c r="W663" s="185"/>
      <c r="X663" s="141"/>
      <c r="Z663" s="187"/>
      <c r="AA663" s="187"/>
    </row>
    <row r="664" spans="1:27" s="186" customFormat="1" ht="15" customHeight="1" thickBot="1">
      <c r="A664" s="215"/>
      <c r="B664" s="272" t="str">
        <f>IF(X665="","WATERPROOFING",X665)</f>
        <v>DIKASIL SK</v>
      </c>
      <c r="C664" s="280"/>
      <c r="D664" s="281"/>
      <c r="E664" s="281"/>
      <c r="F664" s="281"/>
      <c r="G664" s="281"/>
      <c r="H664" s="281"/>
      <c r="I664" s="281"/>
      <c r="J664" s="282"/>
      <c r="K664" s="282"/>
      <c r="L664" s="283"/>
      <c r="M664" s="281"/>
      <c r="N664" s="281"/>
      <c r="O664" s="281"/>
      <c r="P664" s="281"/>
      <c r="Q664" s="281"/>
      <c r="R664" s="281"/>
      <c r="S664" s="284"/>
      <c r="T664" s="281" t="s">
        <v>638</v>
      </c>
      <c r="U664" s="281" t="s">
        <v>38</v>
      </c>
      <c r="V664" s="285" t="s">
        <v>27</v>
      </c>
      <c r="W664" s="286"/>
      <c r="X664" s="287"/>
      <c r="Z664" s="187"/>
      <c r="AA664" s="187"/>
    </row>
    <row r="665" spans="1:27" s="186" customFormat="1" ht="15" customHeight="1" thickBot="1">
      <c r="A665" s="215"/>
      <c r="B665" s="213" t="s">
        <v>1830</v>
      </c>
      <c r="C665" s="133">
        <f>SUMIF(Densidades!A:A,'Memória TOTAL'!X665,Densidades!B:B)</f>
        <v>1.53</v>
      </c>
      <c r="D665" s="134">
        <f>SUMIF(Densidades!A:A,'Memória TOTAL'!X665,Densidades!C:C)</f>
        <v>20</v>
      </c>
      <c r="E665" s="134" t="str">
        <f>IF(I665=15,"FIRECLAY MORTAR",IF(I665=16,"ALUMINA MORTAR",IF(I665=17,"BASIC MORTAR",IF(I665=18,"MORTAR","-"))))</f>
        <v>-</v>
      </c>
      <c r="F665" s="134" t="str">
        <f>IF(I665=15,"FIRECLAY MORTAR",IF(I665=16,"ALUMINA MORTAR",IF(I665=17,"BASIC MORTAR",IF(I665=18,"MORTAR","-"))))</f>
        <v>-</v>
      </c>
      <c r="G665" s="134" t="str">
        <f>IF(I665=15,"FIRECLAY MORTAR",IF(I665=16,"ALUMINA MORTAR",IF(I665=17,"BASIC MORTAR",IF(I665=18,"MORTAR","-"))))</f>
        <v>-</v>
      </c>
      <c r="H665" s="134" t="str">
        <f>IF(I665=15,"FIRECLAY MORTAR",IF(I665=16,"ALUMINA MORTAR",IF(I665=17,"BASIC MORTAR",IF(I665=18,"MORTAR","-"))))</f>
        <v>-</v>
      </c>
      <c r="I665" s="134">
        <f>SUMIF(Densidades!A:A,'Memória TOTAL'!X665,Densidades!G:G)</f>
        <v>0</v>
      </c>
      <c r="J665" s="136">
        <f>SUMIF(Formatos!A:A,'Memória TOTAL'!X666,Formatos!G:G)</f>
        <v>0</v>
      </c>
      <c r="K665" s="222">
        <f>SUMIF(Densidades!A:A,'Memória TOTAL'!X665,Densidades!I:I)</f>
        <v>8</v>
      </c>
      <c r="L665" s="188">
        <v>0</v>
      </c>
      <c r="M665" s="189"/>
      <c r="N665" s="189"/>
      <c r="O665" s="189"/>
      <c r="P665" s="189"/>
      <c r="Q665" s="189"/>
      <c r="R665" s="190"/>
      <c r="S665" s="189"/>
      <c r="T665" s="190" t="e">
        <f>(W653*G653*H653)/10^6/2</f>
        <v>#VALUE!</v>
      </c>
      <c r="U665" s="257"/>
      <c r="V665" s="192" t="e">
        <f>T665*C665*U665</f>
        <v>#VALUE!</v>
      </c>
      <c r="W665" s="140" t="str">
        <f>IFERROR(IF(C665=0,"",ROUNDUP(SUM(V665:V666)*(1+L665)/D665,2)*D665),"")</f>
        <v/>
      </c>
      <c r="X665" s="263" t="s">
        <v>1827</v>
      </c>
      <c r="Z665" s="187"/>
      <c r="AA665" s="187"/>
    </row>
    <row r="666" spans="1:27" s="186" customFormat="1" ht="15" customHeight="1">
      <c r="A666" s="215"/>
      <c r="B666" s="210"/>
      <c r="C666" s="133"/>
      <c r="D666" s="195"/>
      <c r="E666" s="195"/>
      <c r="F666" s="195"/>
      <c r="G666" s="195"/>
      <c r="H666" s="195"/>
      <c r="I666" s="195"/>
      <c r="J666" s="196"/>
      <c r="K666" s="196"/>
      <c r="L666" s="144"/>
      <c r="M666" s="195"/>
      <c r="N666" s="195"/>
      <c r="O666" s="195"/>
      <c r="P666" s="195"/>
      <c r="Q666" s="195"/>
      <c r="R666" s="195"/>
      <c r="S666" s="195"/>
      <c r="T666" s="195"/>
      <c r="U666" s="195"/>
      <c r="V666" s="197"/>
      <c r="W666" s="185"/>
      <c r="X666" s="141" t="str">
        <f>IF(AND(H665="-",G665="-",F665="-"),E665,IF(AND(H665="-",G665="-",E665="-"),F665,IF(AND(H665="-",F665="-",E665="-"),G665,H665)))</f>
        <v>-</v>
      </c>
      <c r="Z666" s="187"/>
      <c r="AA666" s="187"/>
    </row>
    <row r="667" spans="1:27" s="186" customFormat="1" ht="15" customHeight="1">
      <c r="A667" s="215"/>
      <c r="B667" s="213"/>
      <c r="C667" s="133"/>
      <c r="D667" s="195"/>
      <c r="E667" s="195"/>
      <c r="F667" s="195"/>
      <c r="G667" s="195"/>
      <c r="H667" s="195"/>
      <c r="I667" s="195"/>
      <c r="J667" s="196"/>
      <c r="K667" s="196"/>
      <c r="L667" s="144"/>
      <c r="M667" s="195"/>
      <c r="N667" s="195"/>
      <c r="O667" s="195"/>
      <c r="P667" s="195"/>
      <c r="Q667" s="195"/>
      <c r="R667" s="195"/>
      <c r="S667" s="195"/>
      <c r="T667" s="195"/>
      <c r="U667" s="195"/>
      <c r="V667" s="197"/>
      <c r="W667" s="185"/>
      <c r="X667" s="141" t="s">
        <v>2</v>
      </c>
      <c r="Z667" s="187"/>
      <c r="AA667" s="187"/>
    </row>
    <row r="668" spans="1:27" s="186" customFormat="1" ht="15" customHeight="1">
      <c r="A668" s="215"/>
      <c r="B668" s="213"/>
      <c r="C668" s="133"/>
      <c r="D668" s="195"/>
      <c r="E668" s="195"/>
      <c r="F668" s="195"/>
      <c r="G668" s="195"/>
      <c r="H668" s="195"/>
      <c r="I668" s="195"/>
      <c r="J668" s="196"/>
      <c r="K668" s="196"/>
      <c r="L668" s="144"/>
      <c r="M668" s="195"/>
      <c r="N668" s="195"/>
      <c r="O668" s="195"/>
      <c r="P668" s="195"/>
      <c r="Q668" s="195"/>
      <c r="R668" s="195"/>
      <c r="S668" s="195"/>
      <c r="T668" s="195"/>
      <c r="U668" s="195"/>
      <c r="V668" s="197"/>
      <c r="W668" s="185"/>
      <c r="X668" s="141"/>
      <c r="Z668" s="187"/>
      <c r="AA668" s="187"/>
    </row>
    <row r="669" spans="1:27" s="186" customFormat="1" ht="15" customHeight="1" thickBot="1">
      <c r="A669" s="215"/>
      <c r="B669" s="272" t="str">
        <f>IF(X670="","WATERPROOFING",X670)</f>
        <v>LATEX PAINT</v>
      </c>
      <c r="C669" s="280"/>
      <c r="D669" s="281"/>
      <c r="E669" s="281"/>
      <c r="F669" s="281"/>
      <c r="G669" s="281"/>
      <c r="H669" s="281"/>
      <c r="I669" s="281"/>
      <c r="J669" s="282"/>
      <c r="K669" s="282"/>
      <c r="L669" s="283"/>
      <c r="M669" s="281"/>
      <c r="N669" s="281"/>
      <c r="O669" s="281"/>
      <c r="P669" s="281"/>
      <c r="Q669" s="281"/>
      <c r="R669" s="281"/>
      <c r="S669" s="284"/>
      <c r="T669" s="281" t="s">
        <v>638</v>
      </c>
      <c r="U669" s="281" t="s">
        <v>38</v>
      </c>
      <c r="V669" s="285" t="s">
        <v>27</v>
      </c>
      <c r="W669" s="286"/>
      <c r="X669" s="287"/>
      <c r="Z669" s="187"/>
      <c r="AA669" s="187"/>
    </row>
    <row r="670" spans="1:27" s="186" customFormat="1" ht="15" customHeight="1" thickBot="1">
      <c r="A670" s="215"/>
      <c r="B670" s="213" t="s">
        <v>1831</v>
      </c>
      <c r="C670" s="133">
        <f>SUMIF(Densidades!A:A,'Memória TOTAL'!X670,Densidades!B:B)</f>
        <v>1.5</v>
      </c>
      <c r="D670" s="134">
        <f>SUMIF(Densidades!A:A,'Memória TOTAL'!X670,Densidades!C:C)</f>
        <v>1</v>
      </c>
      <c r="E670" s="134" t="str">
        <f>IF(I670=15,"FIRECLAY MORTAR",IF(I670=16,"ALUMINA MORTAR",IF(I670=17,"BASIC MORTAR",IF(I670=18,"MORTAR","-"))))</f>
        <v>-</v>
      </c>
      <c r="F670" s="134" t="str">
        <f>IF(I670=15,"FIRECLAY MORTAR",IF(I670=16,"ALUMINA MORTAR",IF(I670=17,"BASIC MORTAR",IF(I670=18,"MORTAR","-"))))</f>
        <v>-</v>
      </c>
      <c r="G670" s="134" t="str">
        <f>IF(I670=15,"FIRECLAY MORTAR",IF(I670=16,"ALUMINA MORTAR",IF(I670=17,"BASIC MORTAR",IF(I670=18,"MORTAR","-"))))</f>
        <v>-</v>
      </c>
      <c r="H670" s="134" t="str">
        <f>IF(I670=15,"FIRECLAY MORTAR",IF(I670=16,"ALUMINA MORTAR",IF(I670=17,"BASIC MORTAR",IF(I670=18,"MORTAR","-"))))</f>
        <v>-</v>
      </c>
      <c r="I670" s="134">
        <f>SUMIF(Densidades!A:A,'Memória TOTAL'!X670,Densidades!G:G)</f>
        <v>24</v>
      </c>
      <c r="J670" s="136">
        <f>SUMIF(Formatos!A:A,'Memória TOTAL'!X671,Formatos!G:G)</f>
        <v>0</v>
      </c>
      <c r="K670" s="222">
        <f>SUMIF(Densidades!A:A,'Memória TOTAL'!X670,Densidades!I:I)</f>
        <v>9</v>
      </c>
      <c r="L670" s="188">
        <v>0</v>
      </c>
      <c r="M670" s="189"/>
      <c r="N670" s="189"/>
      <c r="O670" s="189"/>
      <c r="P670" s="189"/>
      <c r="Q670" s="189"/>
      <c r="R670" s="190"/>
      <c r="S670" s="189"/>
      <c r="T670" s="190" t="e">
        <f>(W653*G653*H653)/10^6/(200/18)</f>
        <v>#VALUE!</v>
      </c>
      <c r="U670" s="257"/>
      <c r="V670" s="192" t="e">
        <f>T670*U670</f>
        <v>#VALUE!</v>
      </c>
      <c r="W670" s="140" t="str">
        <f>IFERROR(IF(C670=0,"",ROUNDUP(SUM(V670:V671)*(1+L670)/D670,2)*D670),"")</f>
        <v/>
      </c>
      <c r="X670" s="263" t="s">
        <v>523</v>
      </c>
      <c r="Z670" s="187"/>
      <c r="AA670" s="187"/>
    </row>
    <row r="671" spans="1:27" s="186" customFormat="1" ht="15" customHeight="1">
      <c r="A671" s="215"/>
      <c r="B671" s="210"/>
      <c r="C671" s="133"/>
      <c r="D671" s="195"/>
      <c r="E671" s="195"/>
      <c r="F671" s="195"/>
      <c r="G671" s="195"/>
      <c r="H671" s="195"/>
      <c r="I671" s="195"/>
      <c r="J671" s="196"/>
      <c r="K671" s="196"/>
      <c r="L671" s="144"/>
      <c r="M671" s="195"/>
      <c r="N671" s="195"/>
      <c r="O671" s="195"/>
      <c r="P671" s="195"/>
      <c r="Q671" s="195"/>
      <c r="R671" s="195"/>
      <c r="S671" s="195"/>
      <c r="T671" s="195"/>
      <c r="U671" s="195"/>
      <c r="V671" s="197"/>
      <c r="W671" s="185"/>
      <c r="X671" s="141" t="str">
        <f>IF(AND(H670="-",G670="-",F670="-"),E670,IF(AND(H670="-",G670="-",E670="-"),F670,IF(AND(H670="-",F670="-",E670="-"),G670,H670)))</f>
        <v>-</v>
      </c>
      <c r="Z671" s="187"/>
      <c r="AA671" s="187"/>
    </row>
    <row r="672" spans="1:27" s="186" customFormat="1" ht="15" customHeight="1">
      <c r="A672" s="215"/>
      <c r="B672" s="213"/>
      <c r="C672" s="133"/>
      <c r="D672" s="195"/>
      <c r="E672" s="195"/>
      <c r="F672" s="195"/>
      <c r="G672" s="195"/>
      <c r="H672" s="195"/>
      <c r="I672" s="195"/>
      <c r="J672" s="196"/>
      <c r="K672" s="196"/>
      <c r="L672" s="144"/>
      <c r="M672" s="195"/>
      <c r="N672" s="195"/>
      <c r="O672" s="195"/>
      <c r="P672" s="195"/>
      <c r="Q672" s="195"/>
      <c r="R672" s="195"/>
      <c r="S672" s="195"/>
      <c r="T672" s="195"/>
      <c r="U672" s="195"/>
      <c r="V672" s="197"/>
      <c r="W672" s="185"/>
      <c r="X672" s="141" t="s">
        <v>75</v>
      </c>
      <c r="Z672" s="187"/>
      <c r="AA672" s="187"/>
    </row>
    <row r="673" spans="1:27" s="186" customFormat="1" ht="15" customHeight="1">
      <c r="A673" s="215"/>
      <c r="B673" s="213"/>
      <c r="C673" s="133"/>
      <c r="D673" s="195"/>
      <c r="E673" s="195"/>
      <c r="F673" s="195"/>
      <c r="G673" s="195"/>
      <c r="H673" s="195"/>
      <c r="I673" s="195"/>
      <c r="J673" s="196"/>
      <c r="K673" s="196"/>
      <c r="L673" s="144"/>
      <c r="M673" s="195"/>
      <c r="N673" s="195"/>
      <c r="O673" s="195"/>
      <c r="P673" s="195"/>
      <c r="Q673" s="195"/>
      <c r="R673" s="195"/>
      <c r="S673" s="195"/>
      <c r="T673" s="195"/>
      <c r="U673" s="195"/>
      <c r="V673" s="197"/>
      <c r="W673" s="185"/>
      <c r="X673" s="141"/>
      <c r="Z673" s="187"/>
      <c r="AA673" s="187"/>
    </row>
    <row r="674" spans="1:27" s="186" customFormat="1" ht="15" customHeight="1" thickBot="1">
      <c r="A674" s="215"/>
      <c r="B674" s="509"/>
      <c r="C674" s="509"/>
      <c r="D674" s="512"/>
      <c r="E674" s="512"/>
      <c r="F674" s="512"/>
      <c r="G674" s="512"/>
      <c r="H674" s="512"/>
      <c r="I674" s="512"/>
      <c r="J674" s="512"/>
      <c r="K674" s="512"/>
      <c r="L674" s="512"/>
      <c r="M674" s="512"/>
      <c r="N674" s="512"/>
      <c r="O674" s="512"/>
      <c r="P674" s="512"/>
      <c r="Q674" s="512"/>
      <c r="R674" s="512"/>
      <c r="S674" s="512"/>
      <c r="T674" s="512"/>
      <c r="U674" s="512"/>
      <c r="V674" s="512"/>
      <c r="W674" s="512"/>
      <c r="X674" s="513"/>
      <c r="Z674" s="187"/>
      <c r="AA674" s="187"/>
    </row>
    <row r="675" spans="1:27" ht="15" customHeight="1" thickBot="1">
      <c r="A675" s="214"/>
      <c r="B675" s="272" t="str">
        <f>IF(X676="","MONOLÍTICO",X676)</f>
        <v>MONOLÍTICO</v>
      </c>
      <c r="C675" s="273" t="s">
        <v>101</v>
      </c>
      <c r="D675" s="274" t="s">
        <v>102</v>
      </c>
      <c r="E675" s="274" t="s">
        <v>109</v>
      </c>
      <c r="F675" s="274"/>
      <c r="G675" s="274"/>
      <c r="H675" s="274"/>
      <c r="I675" s="274"/>
      <c r="J675" s="274" t="s">
        <v>103</v>
      </c>
      <c r="K675" s="274" t="s">
        <v>37</v>
      </c>
      <c r="L675" s="274" t="s">
        <v>39</v>
      </c>
      <c r="M675" s="274" t="s">
        <v>41</v>
      </c>
      <c r="N675" s="274"/>
      <c r="O675" s="274"/>
      <c r="P675" s="274" t="s">
        <v>17</v>
      </c>
      <c r="Q675" s="274"/>
      <c r="R675" s="274"/>
      <c r="S675" s="274" t="s">
        <v>40</v>
      </c>
      <c r="T675" s="274" t="s">
        <v>26</v>
      </c>
      <c r="U675" s="274" t="s">
        <v>38</v>
      </c>
      <c r="V675" s="275" t="s">
        <v>27</v>
      </c>
      <c r="W675" s="276"/>
      <c r="X675" s="277"/>
    </row>
    <row r="676" spans="1:27" ht="15" customHeight="1" thickBot="1">
      <c r="A676" s="214"/>
      <c r="B676" s="211"/>
      <c r="C676" s="133">
        <f>SUMIF(Densidades!A:A,'Memória TOTAL'!X676,Densidades!B:B)</f>
        <v>0</v>
      </c>
      <c r="D676" s="134">
        <f>SUMIF(Densidades!A:A,'Memória TOTAL'!X676,Densidades!C:C)</f>
        <v>0</v>
      </c>
      <c r="E676" s="134">
        <f>SUMIF(Densidades!A:A,'Memória TOTAL'!X676,Densidades!G:G)</f>
        <v>0</v>
      </c>
      <c r="F676" s="134" t="str">
        <f>IF(E676=1,"FIRECLAY CASTABLE",IF(E676=2,"ALUMINA CASTABLE",IF(E676=3,"ALUMINA MASS",IF(E676=4,"SILICA MASS","-"))))</f>
        <v>-</v>
      </c>
      <c r="G676" s="134" t="str">
        <f>IF(E676=5,"BASIC CASTABLE",IF(E676=6,"BASIC MASS",IF(E676=7,"CARBON MASS",IF(E676=8,"CHROMITE CASTABLE","-"))))</f>
        <v>-</v>
      </c>
      <c r="H676" s="134" t="str">
        <f>IF(E676=9,"INSULATING CASTABLE",IF(E676=10,"FIRECLAY MASS",IF(E676=11,"CHROMITE MASS",IF(E676=12,"FIRECLAY PLASTIC.","-"))))</f>
        <v>-</v>
      </c>
      <c r="I676" s="134" t="str">
        <f>IF(E676=13,"ALUMINA PLASTIC",IF(E676=14,"FILLING SAND",IF(E676=15,"FIRECLAY MORTAR",IF(E676=16,"ALUMINA MORTAR",IF(E676=17,"BASIC MORTAR",IF(E676=18,"MORTAR","-"))))))</f>
        <v>-</v>
      </c>
      <c r="J676" s="136">
        <f>SUMIF(Formatos!A:A,'Memória TOTAL'!X677,Formatos!G:G)</f>
        <v>0</v>
      </c>
      <c r="K676" s="137">
        <f>SUMIF(Densidades!A:A,'Memória TOTAL'!X676,Densidades!I:I)</f>
        <v>0</v>
      </c>
      <c r="L676" s="138">
        <v>0</v>
      </c>
      <c r="M676" s="139"/>
      <c r="N676" s="139"/>
      <c r="O676" s="139"/>
      <c r="P676" s="139"/>
      <c r="Q676" s="139"/>
      <c r="R676" s="139"/>
      <c r="S676" s="139"/>
      <c r="T676" s="139"/>
      <c r="U676" s="139"/>
      <c r="V676" s="145"/>
      <c r="W676" s="140" t="str">
        <f>IF(C676=0,"",ROUNDUP(SUM(V678:V681)*(1+L676)/D676,0)*D676)</f>
        <v/>
      </c>
      <c r="X676" s="263"/>
    </row>
    <row r="677" spans="1:27" ht="15" customHeight="1">
      <c r="A677" s="214"/>
      <c r="B677" s="211"/>
      <c r="C677" s="133"/>
      <c r="D677" s="139"/>
      <c r="E677" s="139"/>
      <c r="F677" s="139"/>
      <c r="G677" s="139"/>
      <c r="H677" s="139"/>
      <c r="I677" s="139"/>
      <c r="J677" s="143"/>
      <c r="K677" s="143"/>
      <c r="L677" s="144"/>
      <c r="M677" s="139"/>
      <c r="N677" s="139"/>
      <c r="O677" s="139"/>
      <c r="P677" s="139"/>
      <c r="Q677" s="139"/>
      <c r="R677" s="139"/>
      <c r="S677" s="139"/>
      <c r="T677" s="139"/>
      <c r="U677" s="139"/>
      <c r="V677" s="145"/>
      <c r="W677" s="146"/>
      <c r="X677" s="147" t="str">
        <f>IF(AND(I676="-",H676="-",G676="-"),F676,IF(AND(I676="-",H676="-",F676="-"),G676,IF(AND(I676="-",G676="-",F676="-"),H676,I676)))</f>
        <v>-</v>
      </c>
    </row>
    <row r="678" spans="1:27" ht="15" customHeight="1" thickBot="1">
      <c r="A678" s="214"/>
      <c r="B678" s="212" t="s">
        <v>71</v>
      </c>
      <c r="C678" s="133"/>
      <c r="D678" s="139"/>
      <c r="E678" s="139"/>
      <c r="F678" s="139"/>
      <c r="G678" s="139"/>
      <c r="H678" s="139"/>
      <c r="I678" s="139"/>
      <c r="J678" s="143"/>
      <c r="K678" s="143"/>
      <c r="L678" s="144"/>
      <c r="M678" s="139"/>
      <c r="N678" s="139"/>
      <c r="O678" s="139"/>
      <c r="P678" s="139"/>
      <c r="Q678" s="139"/>
      <c r="R678" s="139"/>
      <c r="S678" s="139"/>
      <c r="T678" s="139"/>
      <c r="U678" s="139"/>
      <c r="V678" s="145"/>
      <c r="W678" s="146"/>
      <c r="X678" s="147" t="s">
        <v>2</v>
      </c>
    </row>
    <row r="679" spans="1:27" ht="15" customHeight="1" thickBot="1">
      <c r="A679" s="214"/>
      <c r="B679" s="331"/>
      <c r="C679" s="198">
        <f>C676</f>
        <v>0</v>
      </c>
      <c r="D679" s="160"/>
      <c r="E679" s="160"/>
      <c r="F679" s="160"/>
      <c r="G679" s="160"/>
      <c r="H679" s="160"/>
      <c r="I679" s="160"/>
      <c r="J679" s="161"/>
      <c r="K679" s="161"/>
      <c r="L679" s="199">
        <v>0</v>
      </c>
      <c r="M679" s="257"/>
      <c r="N679" s="160"/>
      <c r="O679" s="160"/>
      <c r="P679" s="160"/>
      <c r="Q679" s="160"/>
      <c r="R679" s="160"/>
      <c r="S679" s="160"/>
      <c r="T679" s="178">
        <f>M679/10^6</f>
        <v>0</v>
      </c>
      <c r="U679" s="257"/>
      <c r="V679" s="179">
        <f>ROUNDUP(T679*C679*(1+L679),0)*U679</f>
        <v>0</v>
      </c>
      <c r="W679" s="180"/>
      <c r="X679" s="181"/>
    </row>
    <row r="680" spans="1:27" s="186" customFormat="1" ht="15" customHeight="1" thickBot="1">
      <c r="A680" s="215"/>
      <c r="B680" s="332"/>
      <c r="C680" s="198">
        <f>C679</f>
        <v>0</v>
      </c>
      <c r="D680" s="201"/>
      <c r="E680" s="201"/>
      <c r="F680" s="201"/>
      <c r="G680" s="201"/>
      <c r="H680" s="201"/>
      <c r="I680" s="201"/>
      <c r="J680" s="234"/>
      <c r="K680" s="234"/>
      <c r="L680" s="237">
        <v>0</v>
      </c>
      <c r="M680" s="201"/>
      <c r="N680" s="201"/>
      <c r="O680" s="201"/>
      <c r="P680" s="257"/>
      <c r="Q680" s="160"/>
      <c r="R680" s="160"/>
      <c r="S680" s="257"/>
      <c r="T680" s="227">
        <f>S680*P680/10^6</f>
        <v>0</v>
      </c>
      <c r="U680" s="257"/>
      <c r="V680" s="228">
        <f>ROUNDUP(T680*C680*(1+L680),0)*U680</f>
        <v>0</v>
      </c>
      <c r="W680" s="229"/>
      <c r="X680" s="230"/>
      <c r="Z680" s="187"/>
      <c r="AA680" s="187"/>
    </row>
    <row r="681" spans="1:27" ht="15" customHeight="1">
      <c r="A681" s="215"/>
      <c r="B681" s="211"/>
      <c r="C681" s="142"/>
      <c r="D681" s="139"/>
      <c r="E681" s="139"/>
      <c r="F681" s="139"/>
      <c r="G681" s="139"/>
      <c r="H681" s="139"/>
      <c r="I681" s="139"/>
      <c r="J681" s="143"/>
      <c r="K681" s="143"/>
      <c r="L681" s="144"/>
      <c r="M681" s="139"/>
      <c r="N681" s="195"/>
      <c r="O681" s="195"/>
      <c r="P681" s="195"/>
      <c r="Q681" s="195"/>
      <c r="R681" s="139"/>
      <c r="S681" s="139"/>
      <c r="T681" s="139"/>
      <c r="U681" s="139"/>
      <c r="V681" s="145"/>
      <c r="W681" s="146"/>
      <c r="X681" s="147"/>
    </row>
    <row r="682" spans="1:27" ht="15" customHeight="1">
      <c r="A682" s="215"/>
      <c r="B682" s="211"/>
      <c r="C682" s="142"/>
      <c r="D682" s="139"/>
      <c r="E682" s="139"/>
      <c r="F682" s="139"/>
      <c r="G682" s="139"/>
      <c r="H682" s="139"/>
      <c r="I682" s="139"/>
      <c r="J682" s="143"/>
      <c r="K682" s="143"/>
      <c r="L682" s="144"/>
      <c r="M682" s="139"/>
      <c r="N682" s="195"/>
      <c r="O682" s="195"/>
      <c r="P682" s="195"/>
      <c r="Q682" s="195"/>
      <c r="R682" s="139"/>
      <c r="S682" s="139"/>
      <c r="T682" s="139"/>
      <c r="U682" s="139"/>
      <c r="V682" s="145"/>
      <c r="W682" s="146"/>
      <c r="X682" s="147"/>
    </row>
    <row r="683" spans="1:27" ht="15" customHeight="1" thickBot="1">
      <c r="A683" s="214"/>
      <c r="B683" s="272" t="str">
        <f>IF(X684="","MONOLÍTICO+ADITIVO",X684)</f>
        <v>MONOLÍTICO+ADITIVO</v>
      </c>
      <c r="C683" s="273" t="s">
        <v>101</v>
      </c>
      <c r="D683" s="274" t="s">
        <v>102</v>
      </c>
      <c r="E683" s="274" t="s">
        <v>109</v>
      </c>
      <c r="F683" s="274"/>
      <c r="G683" s="274"/>
      <c r="H683" s="274"/>
      <c r="I683" s="274"/>
      <c r="J683" s="274" t="s">
        <v>103</v>
      </c>
      <c r="K683" s="274" t="s">
        <v>37</v>
      </c>
      <c r="L683" s="274" t="s">
        <v>39</v>
      </c>
      <c r="M683" s="274" t="s">
        <v>41</v>
      </c>
      <c r="N683" s="274"/>
      <c r="O683" s="274"/>
      <c r="P683" s="274" t="s">
        <v>17</v>
      </c>
      <c r="Q683" s="274"/>
      <c r="R683" s="274"/>
      <c r="S683" s="274" t="s">
        <v>40</v>
      </c>
      <c r="T683" s="274" t="s">
        <v>26</v>
      </c>
      <c r="U683" s="274" t="s">
        <v>38</v>
      </c>
      <c r="V683" s="275" t="s">
        <v>27</v>
      </c>
      <c r="W683" s="276"/>
      <c r="X683" s="277"/>
    </row>
    <row r="684" spans="1:27" ht="15" customHeight="1" thickBot="1">
      <c r="A684" s="214"/>
      <c r="B684" s="211"/>
      <c r="C684" s="133">
        <f>SUMIF(Densidades!A:A,'Memória TOTAL'!X684,Densidades!B:B)</f>
        <v>0</v>
      </c>
      <c r="D684" s="134">
        <f>SUMIF(Densidades!A:A,'Memória TOTAL'!X684,Densidades!C:C)</f>
        <v>0</v>
      </c>
      <c r="E684" s="134">
        <f>SUMIF(Densidades!A:A,'Memória TOTAL'!X684,Densidades!G:G)</f>
        <v>0</v>
      </c>
      <c r="F684" s="134" t="str">
        <f>IF(E684=1,"FIRECLAY CASTABLE",IF(E684=2,"ALUMINA CASTABLE",IF(E684=3,"ALUMINA MASS",IF(E684=4,"SILICA MASS","-"))))</f>
        <v>-</v>
      </c>
      <c r="G684" s="134" t="str">
        <f>IF(E684=5,"BASIC CASTABLE",IF(E684=6,"BASIC MASS",IF(E684=7,"CARBON MASS",IF(E684=8,"CHROMITE CASTABLE","-"))))</f>
        <v>-</v>
      </c>
      <c r="H684" s="134" t="str">
        <f>IF(E684=9,"INSULATING CASTABLE",IF(E684=10,"FIRECLAY MASS",IF(E684=11,"CHROMITE MASS",IF(E684=12,"FIRECLAY PLASTIC.","-"))))</f>
        <v>-</v>
      </c>
      <c r="I684" s="134" t="str">
        <f>IF(E684=13,"ALUMINA PLASTIC",IF(E684=14,"FILLING SAND",IF(E684=15,"FIRECLAY MORTAR",IF(E684=16,"ALUMINA MORTAR",IF(E684=17,"BASIC MORTAR",IF(E684=18,"MORTAR","-"))))))</f>
        <v>-</v>
      </c>
      <c r="J684" s="136">
        <f>SUMIF(Formatos!A:A,'Memória TOTAL'!X685,Formatos!G:G)</f>
        <v>0</v>
      </c>
      <c r="K684" s="137">
        <f>SUMIF(Densidades!A:A,'Memória TOTAL'!X684,Densidades!I:I)</f>
        <v>0</v>
      </c>
      <c r="L684" s="138">
        <v>0</v>
      </c>
      <c r="M684" s="139"/>
      <c r="N684" s="139"/>
      <c r="O684" s="139"/>
      <c r="P684" s="139"/>
      <c r="Q684" s="139"/>
      <c r="R684" s="139"/>
      <c r="S684" s="139"/>
      <c r="T684" s="139"/>
      <c r="U684" s="139"/>
      <c r="V684" s="145"/>
      <c r="W684" s="140" t="str">
        <f>IF(C684=0,"",ROUNDUP(SUM(V686:V689)*(1+L684)/D684,0)*D684)</f>
        <v/>
      </c>
      <c r="X684" s="263"/>
    </row>
    <row r="685" spans="1:27" ht="15" customHeight="1">
      <c r="A685" s="214"/>
      <c r="B685" s="211"/>
      <c r="C685" s="133"/>
      <c r="D685" s="139"/>
      <c r="E685" s="139"/>
      <c r="F685" s="139"/>
      <c r="G685" s="139"/>
      <c r="H685" s="139"/>
      <c r="I685" s="139"/>
      <c r="J685" s="143"/>
      <c r="K685" s="143"/>
      <c r="L685" s="144"/>
      <c r="M685" s="139"/>
      <c r="N685" s="139"/>
      <c r="O685" s="139"/>
      <c r="P685" s="139"/>
      <c r="Q685" s="139"/>
      <c r="R685" s="139"/>
      <c r="S685" s="139"/>
      <c r="T685" s="139"/>
      <c r="U685" s="139"/>
      <c r="V685" s="145"/>
      <c r="W685" s="146"/>
      <c r="X685" s="147" t="str">
        <f>IF(AND(I684="-",H684="-",G684="-"),F684,IF(AND(I684="-",H684="-",F684="-"),G684,IF(AND(I684="-",G684="-",F684="-"),H684,I684)))</f>
        <v>-</v>
      </c>
    </row>
    <row r="686" spans="1:27" ht="15" customHeight="1" thickBot="1">
      <c r="A686" s="214"/>
      <c r="B686" s="212" t="s">
        <v>71</v>
      </c>
      <c r="C686" s="133"/>
      <c r="D686" s="139"/>
      <c r="E686" s="139"/>
      <c r="F686" s="139"/>
      <c r="G686" s="139"/>
      <c r="H686" s="139"/>
      <c r="I686" s="139"/>
      <c r="J686" s="143"/>
      <c r="K686" s="143"/>
      <c r="L686" s="144"/>
      <c r="M686" s="139"/>
      <c r="N686" s="139"/>
      <c r="O686" s="139"/>
      <c r="P686" s="139"/>
      <c r="Q686" s="139"/>
      <c r="R686" s="139"/>
      <c r="S686" s="139"/>
      <c r="T686" s="139"/>
      <c r="U686" s="139"/>
      <c r="V686" s="145"/>
      <c r="W686" s="146"/>
      <c r="X686" s="147" t="s">
        <v>2</v>
      </c>
    </row>
    <row r="687" spans="1:27" ht="15" customHeight="1" thickBot="1">
      <c r="A687" s="214"/>
      <c r="B687" s="331"/>
      <c r="C687" s="198">
        <f>C684</f>
        <v>0</v>
      </c>
      <c r="D687" s="160"/>
      <c r="E687" s="160"/>
      <c r="F687" s="160"/>
      <c r="G687" s="160"/>
      <c r="H687" s="160"/>
      <c r="I687" s="160"/>
      <c r="J687" s="161"/>
      <c r="K687" s="161"/>
      <c r="L687" s="199">
        <v>0</v>
      </c>
      <c r="M687" s="257"/>
      <c r="N687" s="160"/>
      <c r="O687" s="160"/>
      <c r="P687" s="160"/>
      <c r="Q687" s="160"/>
      <c r="R687" s="160"/>
      <c r="S687" s="160"/>
      <c r="T687" s="178">
        <f>M687/10^6</f>
        <v>0</v>
      </c>
      <c r="U687" s="257"/>
      <c r="V687" s="179">
        <f>ROUNDUP(T687*C687*(1+L687),0)*U687</f>
        <v>0</v>
      </c>
      <c r="W687" s="180"/>
      <c r="X687" s="181"/>
    </row>
    <row r="688" spans="1:27" s="186" customFormat="1" ht="15" customHeight="1" thickBot="1">
      <c r="A688" s="215"/>
      <c r="B688" s="332"/>
      <c r="C688" s="198">
        <f>C687</f>
        <v>0</v>
      </c>
      <c r="D688" s="201"/>
      <c r="E688" s="201"/>
      <c r="F688" s="201"/>
      <c r="G688" s="201"/>
      <c r="H688" s="201"/>
      <c r="I688" s="201"/>
      <c r="J688" s="234"/>
      <c r="K688" s="234"/>
      <c r="L688" s="237">
        <v>0</v>
      </c>
      <c r="M688" s="201"/>
      <c r="N688" s="201"/>
      <c r="O688" s="201"/>
      <c r="P688" s="257"/>
      <c r="Q688" s="160"/>
      <c r="R688" s="160"/>
      <c r="S688" s="257"/>
      <c r="T688" s="227">
        <f>S688*P688/10^6</f>
        <v>0</v>
      </c>
      <c r="U688" s="257"/>
      <c r="V688" s="228">
        <f>ROUNDUP(T688*C688*(1+L688),0)*U688</f>
        <v>0</v>
      </c>
      <c r="W688" s="229"/>
      <c r="X688" s="230"/>
      <c r="Z688" s="187"/>
      <c r="AA688" s="187"/>
    </row>
    <row r="689" spans="1:27" ht="15" customHeight="1">
      <c r="A689" s="215"/>
      <c r="B689" s="211"/>
      <c r="C689" s="142"/>
      <c r="D689" s="139"/>
      <c r="E689" s="139"/>
      <c r="F689" s="139"/>
      <c r="G689" s="139"/>
      <c r="H689" s="139"/>
      <c r="I689" s="139"/>
      <c r="J689" s="143"/>
      <c r="K689" s="143"/>
      <c r="L689" s="144"/>
      <c r="M689" s="139"/>
      <c r="N689" s="195"/>
      <c r="O689" s="195"/>
      <c r="P689" s="195"/>
      <c r="Q689" s="195"/>
      <c r="R689" s="139"/>
      <c r="S689" s="139"/>
      <c r="T689" s="139"/>
      <c r="U689" s="139"/>
      <c r="V689" s="145"/>
      <c r="W689" s="146"/>
      <c r="X689" s="147"/>
    </row>
    <row r="690" spans="1:27" ht="15" customHeight="1">
      <c r="A690" s="215"/>
      <c r="B690" s="211"/>
      <c r="C690" s="142"/>
      <c r="D690" s="139"/>
      <c r="E690" s="139"/>
      <c r="F690" s="139"/>
      <c r="G690" s="139"/>
      <c r="H690" s="139"/>
      <c r="I690" s="139"/>
      <c r="J690" s="143"/>
      <c r="K690" s="143"/>
      <c r="L690" s="144"/>
      <c r="M690" s="139"/>
      <c r="N690" s="195"/>
      <c r="O690" s="195"/>
      <c r="P690" s="195"/>
      <c r="Q690" s="195"/>
      <c r="R690" s="139"/>
      <c r="S690" s="139"/>
      <c r="T690" s="139"/>
      <c r="U690" s="139"/>
      <c r="V690" s="145"/>
      <c r="W690" s="146"/>
      <c r="X690" s="147"/>
    </row>
    <row r="691" spans="1:27" ht="15" customHeight="1">
      <c r="A691" s="215"/>
      <c r="B691" s="211"/>
      <c r="C691" s="142"/>
      <c r="D691" s="139"/>
      <c r="E691" s="139"/>
      <c r="F691" s="139"/>
      <c r="G691" s="139"/>
      <c r="H691" s="139"/>
      <c r="I691" s="139"/>
      <c r="J691" s="143"/>
      <c r="K691" s="143"/>
      <c r="L691" s="144"/>
      <c r="M691" s="139"/>
      <c r="N691" s="195"/>
      <c r="O691" s="195"/>
      <c r="P691" s="195"/>
      <c r="Q691" s="195"/>
      <c r="R691" s="139"/>
      <c r="S691" s="139"/>
      <c r="T691" s="139"/>
      <c r="U691" s="139"/>
      <c r="V691" s="145"/>
      <c r="W691" s="146"/>
      <c r="X691" s="147"/>
    </row>
    <row r="692" spans="1:27" ht="15" customHeight="1">
      <c r="A692" s="215"/>
      <c r="B692" s="210"/>
      <c r="C692" s="142"/>
      <c r="D692" s="139"/>
      <c r="E692" s="139"/>
      <c r="F692" s="139"/>
      <c r="G692" s="139"/>
      <c r="H692" s="139"/>
      <c r="I692" s="139"/>
      <c r="J692" s="143"/>
      <c r="K692" s="143"/>
      <c r="L692" s="144"/>
      <c r="M692" s="139"/>
      <c r="N692" s="195"/>
      <c r="O692" s="195"/>
      <c r="P692" s="195"/>
      <c r="Q692" s="195"/>
      <c r="R692" s="139"/>
      <c r="S692" s="139"/>
      <c r="T692" s="139"/>
      <c r="U692" s="139"/>
      <c r="V692" s="145"/>
      <c r="W692" s="146"/>
      <c r="X692" s="147"/>
    </row>
    <row r="693" spans="1:27" ht="15" customHeight="1">
      <c r="A693" s="215"/>
      <c r="B693" s="211"/>
      <c r="C693" s="142"/>
      <c r="D693" s="139"/>
      <c r="E693" s="139"/>
      <c r="F693" s="139"/>
      <c r="G693" s="139"/>
      <c r="H693" s="139"/>
      <c r="I693" s="139"/>
      <c r="J693" s="143"/>
      <c r="K693" s="143"/>
      <c r="L693" s="144"/>
      <c r="M693" s="139"/>
      <c r="N693" s="195"/>
      <c r="O693" s="195"/>
      <c r="P693" s="195"/>
      <c r="Q693" s="195"/>
      <c r="R693" s="139"/>
      <c r="S693" s="139"/>
      <c r="T693" s="139"/>
      <c r="U693" s="139"/>
      <c r="V693" s="145"/>
      <c r="W693" s="146"/>
      <c r="X693" s="147"/>
    </row>
    <row r="694" spans="1:27" ht="15" customHeight="1" thickBot="1">
      <c r="A694" s="215"/>
      <c r="B694" s="211"/>
      <c r="C694" s="142"/>
      <c r="D694" s="139"/>
      <c r="E694" s="139"/>
      <c r="F694" s="139"/>
      <c r="G694" s="139"/>
      <c r="H694" s="139"/>
      <c r="I694" s="139"/>
      <c r="J694" s="143"/>
      <c r="K694" s="143"/>
      <c r="L694" s="144"/>
      <c r="M694" s="139"/>
      <c r="N694" s="195"/>
      <c r="O694" s="195"/>
      <c r="P694" s="195"/>
      <c r="Q694" s="195"/>
      <c r="R694" s="139"/>
      <c r="S694" s="139"/>
      <c r="T694" s="139"/>
      <c r="U694" s="139"/>
      <c r="V694" s="145"/>
      <c r="W694" s="146"/>
      <c r="X694" s="147"/>
    </row>
    <row r="695" spans="1:27" s="186" customFormat="1" ht="15" customHeight="1" thickBot="1">
      <c r="A695" s="278"/>
      <c r="B695" s="213" t="s">
        <v>1098</v>
      </c>
      <c r="C695" s="133">
        <f>SUMIF(Densidades!A:A,'Memória TOTAL'!X695,Densidades!B:B)</f>
        <v>1.3</v>
      </c>
      <c r="D695" s="134">
        <f>SUMIF(Densidades!A:A,'Memória TOTAL'!X695,Densidades!C:C)</f>
        <v>20</v>
      </c>
      <c r="E695" s="134"/>
      <c r="F695" s="134" t="str">
        <f>IF(E695=1,"FIRECLAY CASTABLE",IF(E695=2,"ALUMINA CASTABLE",IF(E695=3,"ALUMINA MASS",IF(E695=4,"SILICA MASS","-"))))</f>
        <v>-</v>
      </c>
      <c r="G695" s="134" t="str">
        <f>IF(E695=5,"BASIC CASTABLE",IF(E695=6,"BASIC MASS",IF(E695=7,"CARBON MASS",IF(E695=8,"CHROMITE CASTABLE","-"))))</f>
        <v>-</v>
      </c>
      <c r="H695" s="134" t="str">
        <f>IF(E695=9,"INSULATING CASTABLE",IF(E695=10,"FIRECLAY MASS",IF(E695=11,"CHROMITE MASS",IF(E695=12,"FIRECLAY PLASTIC.","-"))))</f>
        <v>-</v>
      </c>
      <c r="I695" s="134" t="str">
        <f>IF(E695=13,"ALUMINA PLASTIC",IF(E695=14,"FILLING SAND",IF(E695=15,"FIRECLAY MORTAR",IF(E695=16,"ALUMINA MORTAR",IF(E695=17,"BASIC MORTAR",IF(E695=18,"MORTAR","-"))))))</f>
        <v>-</v>
      </c>
      <c r="J695" s="136">
        <f>SUMIF(Formatos!A:A,'Memória TOTAL'!X696,Formatos!G:G)</f>
        <v>0</v>
      </c>
      <c r="K695" s="222">
        <f>SUMIF(Densidades!A:A,'Memória TOTAL'!X695,Densidades!I:I)</f>
        <v>8</v>
      </c>
      <c r="L695" s="223">
        <v>0</v>
      </c>
      <c r="M695" s="195"/>
      <c r="N695" s="195"/>
      <c r="O695" s="195"/>
      <c r="P695" s="195"/>
      <c r="Q695" s="195"/>
      <c r="R695" s="183" t="s">
        <v>1102</v>
      </c>
      <c r="S695" s="139"/>
      <c r="T695" s="183" t="s">
        <v>26</v>
      </c>
      <c r="U695" s="139"/>
      <c r="V695" s="184" t="s">
        <v>27</v>
      </c>
      <c r="W695" s="193" t="str">
        <f>IFERROR(IF(C695=0,"",ROUNDUP(SUM(V696:V696)*(1+L695),2)),"")</f>
        <v/>
      </c>
      <c r="X695" s="263" t="s">
        <v>1098</v>
      </c>
      <c r="Z695" s="187"/>
      <c r="AA695" s="187"/>
    </row>
    <row r="696" spans="1:27" s="186" customFormat="1" ht="15" customHeight="1" thickBot="1">
      <c r="A696" s="214"/>
      <c r="B696" s="194"/>
      <c r="C696" s="200"/>
      <c r="D696" s="195"/>
      <c r="E696" s="195"/>
      <c r="F696" s="195"/>
      <c r="G696" s="195"/>
      <c r="H696" s="195"/>
      <c r="I696" s="195"/>
      <c r="J696" s="196"/>
      <c r="K696" s="196"/>
      <c r="L696" s="144"/>
      <c r="M696" s="195"/>
      <c r="N696" s="195"/>
      <c r="O696" s="195"/>
      <c r="P696" s="195"/>
      <c r="Q696" s="195"/>
      <c r="R696" s="257"/>
      <c r="S696" s="139"/>
      <c r="T696" s="139" t="e">
        <f>W684/100*R696</f>
        <v>#VALUE!</v>
      </c>
      <c r="U696" s="139"/>
      <c r="V696" s="228" t="e">
        <f>ROUNDUP(T696*C695/D695,0)*D695</f>
        <v>#VALUE!</v>
      </c>
      <c r="W696" s="185"/>
      <c r="X696" s="147" t="str">
        <f>IF(AND(I695="-",H695="-",G695="-"),F695,IF(AND(I695="-",H695="-",F695="-"),G695,IF(AND(I695="-",G695="-",F695="-"),H695,I695)))</f>
        <v>-</v>
      </c>
      <c r="Z696" s="187"/>
      <c r="AA696" s="187"/>
    </row>
    <row r="697" spans="1:27" s="186" customFormat="1" ht="15" customHeight="1">
      <c r="A697" s="214"/>
      <c r="B697" s="791" t="s">
        <v>1888</v>
      </c>
      <c r="C697" s="200"/>
      <c r="D697" s="195"/>
      <c r="E697" s="195"/>
      <c r="F697" s="195"/>
      <c r="G697" s="195"/>
      <c r="H697" s="195"/>
      <c r="I697" s="195"/>
      <c r="J697" s="196"/>
      <c r="K697" s="196"/>
      <c r="L697" s="144"/>
      <c r="M697" s="195"/>
      <c r="N697" s="195"/>
      <c r="O697" s="195"/>
      <c r="P697" s="195"/>
      <c r="Q697" s="195"/>
      <c r="R697" s="195"/>
      <c r="S697" s="195"/>
      <c r="T697" s="195"/>
      <c r="U697" s="139"/>
      <c r="V697" s="197"/>
      <c r="W697" s="185"/>
      <c r="X697" s="141" t="s">
        <v>2</v>
      </c>
      <c r="Z697" s="187"/>
      <c r="AA697" s="187"/>
    </row>
    <row r="698" spans="1:27" s="186" customFormat="1" ht="15" customHeight="1">
      <c r="A698" s="214"/>
      <c r="B698" s="792"/>
      <c r="C698" s="200"/>
      <c r="D698" s="195"/>
      <c r="E698" s="195"/>
      <c r="F698" s="195"/>
      <c r="G698" s="195"/>
      <c r="H698" s="195"/>
      <c r="I698" s="195"/>
      <c r="J698" s="196"/>
      <c r="K698" s="196"/>
      <c r="L698" s="144"/>
      <c r="M698" s="195"/>
      <c r="N698" s="195"/>
      <c r="O698" s="195"/>
      <c r="P698" s="195"/>
      <c r="Q698" s="195"/>
      <c r="R698" s="195"/>
      <c r="S698" s="195"/>
      <c r="T698" s="195"/>
      <c r="U698" s="195"/>
      <c r="V698" s="197"/>
      <c r="W698" s="185"/>
      <c r="X698" s="141"/>
      <c r="Z698" s="187"/>
      <c r="AA698" s="187"/>
    </row>
    <row r="699" spans="1:27" ht="15" customHeight="1">
      <c r="A699" s="215"/>
      <c r="B699" s="211"/>
      <c r="C699" s="142"/>
      <c r="D699" s="139"/>
      <c r="E699" s="139"/>
      <c r="F699" s="139"/>
      <c r="G699" s="139"/>
      <c r="H699" s="139"/>
      <c r="I699" s="139"/>
      <c r="J699" s="143"/>
      <c r="K699" s="143"/>
      <c r="L699" s="144"/>
      <c r="M699" s="139"/>
      <c r="N699" s="195"/>
      <c r="O699" s="195"/>
      <c r="P699" s="195"/>
      <c r="Q699" s="195"/>
      <c r="R699" s="139"/>
      <c r="S699" s="139"/>
      <c r="T699" s="139"/>
      <c r="U699" s="139"/>
      <c r="V699" s="145"/>
      <c r="W699" s="146"/>
      <c r="X699" s="147"/>
    </row>
    <row r="700" spans="1:27" ht="15" customHeight="1" thickBot="1">
      <c r="A700" s="215"/>
      <c r="B700" s="509"/>
      <c r="C700" s="509"/>
      <c r="D700" s="512"/>
      <c r="E700" s="512"/>
      <c r="F700" s="512"/>
      <c r="G700" s="512"/>
      <c r="H700" s="512"/>
      <c r="I700" s="512"/>
      <c r="J700" s="512"/>
      <c r="K700" s="512"/>
      <c r="L700" s="512"/>
      <c r="M700" s="512"/>
      <c r="N700" s="512"/>
      <c r="O700" s="512"/>
      <c r="P700" s="512"/>
      <c r="Q700" s="512"/>
      <c r="R700" s="512"/>
      <c r="S700" s="512"/>
      <c r="T700" s="512"/>
      <c r="U700" s="512"/>
      <c r="V700" s="512"/>
      <c r="W700" s="512"/>
      <c r="X700" s="513"/>
    </row>
    <row r="701" spans="1:27" s="186" customFormat="1" ht="15" customHeight="1" thickBot="1">
      <c r="A701" s="278"/>
      <c r="B701" s="272" t="str">
        <f>IF(X702="","ÂNCORA METÁLICA",X702)</f>
        <v>ÂNCORA METÁLICA</v>
      </c>
      <c r="C701" s="219" t="s">
        <v>101</v>
      </c>
      <c r="D701" s="183" t="s">
        <v>102</v>
      </c>
      <c r="E701" s="183"/>
      <c r="F701" s="183"/>
      <c r="G701" s="183"/>
      <c r="H701" s="183"/>
      <c r="I701" s="183"/>
      <c r="J701" s="183" t="s">
        <v>103</v>
      </c>
      <c r="K701" s="183" t="s">
        <v>37</v>
      </c>
      <c r="L701" s="183" t="s">
        <v>39</v>
      </c>
      <c r="M701" s="183"/>
      <c r="N701" s="183" t="s">
        <v>106</v>
      </c>
      <c r="O701" s="183" t="s">
        <v>68</v>
      </c>
      <c r="P701" s="183" t="s">
        <v>69</v>
      </c>
      <c r="Q701" s="183" t="s">
        <v>107</v>
      </c>
      <c r="R701" s="183" t="s">
        <v>53</v>
      </c>
      <c r="S701" s="183" t="s">
        <v>40</v>
      </c>
      <c r="T701" s="183" t="s">
        <v>26</v>
      </c>
      <c r="U701" s="183" t="s">
        <v>38</v>
      </c>
      <c r="V701" s="184" t="s">
        <v>27</v>
      </c>
      <c r="W701" s="220"/>
      <c r="X701" s="221"/>
      <c r="Z701" s="187"/>
      <c r="AA701" s="187"/>
    </row>
    <row r="702" spans="1:27" s="186" customFormat="1" ht="15" customHeight="1" thickBot="1">
      <c r="A702" s="214"/>
      <c r="B702" s="194"/>
      <c r="C702" s="133">
        <f>SUMIF(Densidades!A:A,'Memória TOTAL'!X702,Densidades!B:B)</f>
        <v>0</v>
      </c>
      <c r="D702" s="134">
        <f>SUMIF(Densidades!A:A,'Memória TOTAL'!X702,Densidades!C:C)</f>
        <v>0</v>
      </c>
      <c r="E702" s="134"/>
      <c r="F702" s="134"/>
      <c r="G702" s="134"/>
      <c r="H702" s="134"/>
      <c r="I702" s="134"/>
      <c r="J702" s="136">
        <f>SUMIF(Formatos!A:A,'Memória TOTAL'!X703,Formatos!G:G)</f>
        <v>0</v>
      </c>
      <c r="K702" s="222">
        <f>SUMIF(Densidades!A:A,'Memória TOTAL'!X702,Densidades!I:I)</f>
        <v>0</v>
      </c>
      <c r="L702" s="223">
        <v>0</v>
      </c>
      <c r="M702" s="195"/>
      <c r="N702" s="195"/>
      <c r="O702" s="195"/>
      <c r="P702" s="195"/>
      <c r="Q702" s="195"/>
      <c r="R702" s="195"/>
      <c r="S702" s="195"/>
      <c r="T702" s="195"/>
      <c r="U702" s="195"/>
      <c r="V702" s="197"/>
      <c r="W702" s="193" t="str">
        <f>IF(C702=0,"",ROUNDUP(SUM(V704:V708)*(1+L702),0))</f>
        <v/>
      </c>
      <c r="X702" s="263"/>
      <c r="Z702" s="187"/>
      <c r="AA702" s="187"/>
    </row>
    <row r="703" spans="1:27" s="186" customFormat="1" ht="15" customHeight="1" thickBot="1">
      <c r="A703" s="214"/>
      <c r="B703" s="194"/>
      <c r="C703" s="200"/>
      <c r="D703" s="195"/>
      <c r="E703" s="195"/>
      <c r="F703" s="195"/>
      <c r="G703" s="195"/>
      <c r="H703" s="195"/>
      <c r="I703" s="195"/>
      <c r="J703" s="196"/>
      <c r="K703" s="196"/>
      <c r="L703" s="144"/>
      <c r="M703" s="195"/>
      <c r="N703" s="195"/>
      <c r="O703" s="195"/>
      <c r="P703" s="195"/>
      <c r="Q703" s="195"/>
      <c r="R703" s="195"/>
      <c r="S703" s="195"/>
      <c r="T703" s="195"/>
      <c r="U703" s="195"/>
      <c r="V703" s="197"/>
      <c r="W703" s="185"/>
      <c r="X703" s="263"/>
      <c r="Z703" s="187"/>
      <c r="AA703" s="187"/>
    </row>
    <row r="704" spans="1:27" s="186" customFormat="1" ht="15" customHeight="1" thickBot="1">
      <c r="A704" s="214"/>
      <c r="B704" s="168"/>
      <c r="C704" s="200"/>
      <c r="D704" s="195"/>
      <c r="E704" s="195"/>
      <c r="F704" s="195"/>
      <c r="G704" s="195"/>
      <c r="H704" s="195"/>
      <c r="I704" s="195"/>
      <c r="J704" s="196"/>
      <c r="K704" s="196"/>
      <c r="L704" s="144"/>
      <c r="M704" s="195"/>
      <c r="N704" s="195"/>
      <c r="O704" s="195"/>
      <c r="P704" s="195"/>
      <c r="Q704" s="195"/>
      <c r="R704" s="195"/>
      <c r="S704" s="195"/>
      <c r="T704" s="195"/>
      <c r="U704" s="195"/>
      <c r="V704" s="197"/>
      <c r="W704" s="185"/>
      <c r="X704" s="141" t="s">
        <v>524</v>
      </c>
      <c r="Z704" s="187"/>
      <c r="AA704" s="187"/>
    </row>
    <row r="705" spans="1:27" s="186" customFormat="1" ht="15" customHeight="1" thickBot="1">
      <c r="A705" s="214"/>
      <c r="B705" s="331"/>
      <c r="C705" s="224"/>
      <c r="D705" s="201"/>
      <c r="E705" s="201"/>
      <c r="F705" s="201"/>
      <c r="G705" s="201"/>
      <c r="H705" s="201"/>
      <c r="I705" s="201"/>
      <c r="J705" s="234"/>
      <c r="K705" s="234"/>
      <c r="L705" s="162"/>
      <c r="M705" s="201"/>
      <c r="N705" s="163"/>
      <c r="O705" s="163"/>
      <c r="P705" s="257"/>
      <c r="Q705" s="163"/>
      <c r="R705" s="201"/>
      <c r="S705" s="257"/>
      <c r="T705" s="227" t="str">
        <f>IF(P705="","-",ROUNDUP(S705/P705/P705,0))</f>
        <v>-</v>
      </c>
      <c r="U705" s="257"/>
      <c r="V705" s="228" t="str">
        <f>IF(T705="-","-",ROUNDUP(T705*U705,0))</f>
        <v>-</v>
      </c>
      <c r="W705" s="229"/>
      <c r="X705" s="230"/>
      <c r="Z705" s="187"/>
      <c r="AA705" s="187"/>
    </row>
    <row r="706" spans="1:27" s="186" customFormat="1" ht="15" customHeight="1" thickBot="1">
      <c r="A706" s="215"/>
      <c r="B706" s="331"/>
      <c r="C706" s="224"/>
      <c r="D706" s="201"/>
      <c r="E706" s="201"/>
      <c r="F706" s="201"/>
      <c r="G706" s="201"/>
      <c r="H706" s="201"/>
      <c r="I706" s="201"/>
      <c r="J706" s="234"/>
      <c r="K706" s="234"/>
      <c r="L706" s="162"/>
      <c r="M706" s="201" t="str">
        <f>IF(Q706="","",ROUND(Q706/P706,0))</f>
        <v/>
      </c>
      <c r="N706" s="257"/>
      <c r="O706" s="257"/>
      <c r="P706" s="160"/>
      <c r="Q706" s="160"/>
      <c r="R706" s="257">
        <v>360</v>
      </c>
      <c r="S706" s="201"/>
      <c r="T706" s="227" t="e">
        <f>ROUNDUP(N706*PI()/O706/360*R706,)</f>
        <v>#DIV/0!</v>
      </c>
      <c r="U706" s="257"/>
      <c r="V706" s="228" t="str">
        <f>IFERROR(IF(T706="-","-",ROUNDUP(T706*U706,0)),"-")</f>
        <v>-</v>
      </c>
      <c r="W706" s="229"/>
      <c r="X706" s="230"/>
      <c r="Z706" s="187"/>
      <c r="AA706" s="187"/>
    </row>
    <row r="707" spans="1:27" s="186" customFormat="1" ht="15" customHeight="1" thickBot="1">
      <c r="A707" s="214"/>
      <c r="B707" s="331"/>
      <c r="C707" s="224"/>
      <c r="D707" s="201"/>
      <c r="E707" s="201"/>
      <c r="F707" s="201"/>
      <c r="G707" s="201"/>
      <c r="H707" s="201"/>
      <c r="I707" s="201"/>
      <c r="J707" s="234"/>
      <c r="K707" s="234"/>
      <c r="L707" s="162"/>
      <c r="M707" s="201" t="str">
        <f>IF(Q707="","",ROUND(Q707/P707,0))</f>
        <v/>
      </c>
      <c r="N707" s="257"/>
      <c r="O707" s="257"/>
      <c r="P707" s="257"/>
      <c r="Q707" s="257"/>
      <c r="R707" s="257">
        <v>360</v>
      </c>
      <c r="S707" s="201"/>
      <c r="T707" s="227" t="str">
        <f>IF(P707="","-",(ROUND(PI()*N707/O707*R707/360,0))*(ROUND(Q707/P707,0)))</f>
        <v>-</v>
      </c>
      <c r="U707" s="257"/>
      <c r="V707" s="228" t="str">
        <f>IF(T707="-","-",ROUNDUP(T707*U707,0))</f>
        <v>-</v>
      </c>
      <c r="W707" s="229"/>
      <c r="X707" s="230"/>
      <c r="Z707" s="187"/>
      <c r="AA707" s="187"/>
    </row>
    <row r="708" spans="1:27" s="186" customFormat="1" ht="15" customHeight="1">
      <c r="A708" s="215"/>
      <c r="B708" s="167"/>
      <c r="C708" s="200"/>
      <c r="D708" s="195"/>
      <c r="E708" s="195"/>
      <c r="F708" s="195"/>
      <c r="G708" s="195"/>
      <c r="H708" s="195"/>
      <c r="I708" s="195"/>
      <c r="J708" s="196"/>
      <c r="K708" s="196"/>
      <c r="L708" s="144"/>
      <c r="M708" s="195"/>
      <c r="N708" s="195"/>
      <c r="O708" s="151"/>
      <c r="P708" s="157"/>
      <c r="Q708" s="151"/>
      <c r="R708" s="195"/>
      <c r="S708" s="195"/>
      <c r="T708" s="195"/>
      <c r="U708" s="195"/>
      <c r="V708" s="197"/>
      <c r="W708" s="185"/>
      <c r="X708" s="141"/>
      <c r="Z708" s="187"/>
      <c r="AA708" s="187"/>
    </row>
    <row r="709" spans="1:27" s="186" customFormat="1" ht="15" customHeight="1" thickBot="1">
      <c r="A709" s="214"/>
      <c r="B709" s="509"/>
      <c r="C709" s="509"/>
      <c r="D709" s="512"/>
      <c r="E709" s="512"/>
      <c r="F709" s="512"/>
      <c r="G709" s="512"/>
      <c r="H709" s="512"/>
      <c r="I709" s="512"/>
      <c r="J709" s="512"/>
      <c r="K709" s="512"/>
      <c r="L709" s="512"/>
      <c r="M709" s="512"/>
      <c r="N709" s="512"/>
      <c r="O709" s="512"/>
      <c r="P709" s="512"/>
      <c r="Q709" s="512"/>
      <c r="R709" s="512"/>
      <c r="S709" s="512"/>
      <c r="T709" s="512"/>
      <c r="U709" s="512"/>
      <c r="V709" s="512"/>
      <c r="W709" s="512"/>
      <c r="X709" s="513"/>
      <c r="Z709" s="187"/>
      <c r="AA709" s="187"/>
    </row>
    <row r="710" spans="1:27" s="186" customFormat="1" ht="15" customHeight="1" thickBot="1">
      <c r="A710" s="214"/>
      <c r="B710" s="272" t="str">
        <f>IF(X711="","ÂNCORA CERÂMICA",X711)</f>
        <v>ÂNCORA CERÂMICA</v>
      </c>
      <c r="C710" s="219" t="s">
        <v>101</v>
      </c>
      <c r="D710" s="184" t="s">
        <v>102</v>
      </c>
      <c r="E710" s="184"/>
      <c r="F710" s="184"/>
      <c r="G710" s="184"/>
      <c r="H710" s="184"/>
      <c r="I710" s="184"/>
      <c r="J710" s="184" t="s">
        <v>103</v>
      </c>
      <c r="K710" s="184" t="s">
        <v>37</v>
      </c>
      <c r="L710" s="184" t="s">
        <v>39</v>
      </c>
      <c r="M710" s="184"/>
      <c r="N710" s="184" t="s">
        <v>106</v>
      </c>
      <c r="O710" s="184" t="s">
        <v>68</v>
      </c>
      <c r="P710" s="184" t="s">
        <v>69</v>
      </c>
      <c r="Q710" s="184" t="s">
        <v>107</v>
      </c>
      <c r="R710" s="184" t="s">
        <v>53</v>
      </c>
      <c r="S710" s="184" t="s">
        <v>40</v>
      </c>
      <c r="T710" s="184" t="s">
        <v>26</v>
      </c>
      <c r="U710" s="184" t="s">
        <v>38</v>
      </c>
      <c r="V710" s="184" t="s">
        <v>27</v>
      </c>
      <c r="W710" s="220"/>
      <c r="X710" s="221"/>
      <c r="Z710" s="187"/>
      <c r="AA710" s="187"/>
    </row>
    <row r="711" spans="1:27" s="186" customFormat="1" ht="15" customHeight="1" thickBot="1">
      <c r="A711" s="215"/>
      <c r="B711" s="194"/>
      <c r="C711" s="133">
        <f>SUMIF(Densidades!A:A,'Memória TOTAL'!X711,Densidades!B:B)</f>
        <v>0</v>
      </c>
      <c r="D711" s="134">
        <f>SUMIF(Densidades!A:A,'Memória TOTAL'!X711,Densidades!C:C)</f>
        <v>0</v>
      </c>
      <c r="E711" s="134"/>
      <c r="F711" s="134"/>
      <c r="G711" s="134"/>
      <c r="H711" s="134"/>
      <c r="I711" s="134"/>
      <c r="J711" s="136">
        <f>SUMIF(Formatos!A:A,'Memória TOTAL'!X712,Formatos!G:G)</f>
        <v>0</v>
      </c>
      <c r="K711" s="222">
        <f>SUMIF(Densidades!A:A,'Memória TOTAL'!X711,Densidades!I:I)</f>
        <v>0</v>
      </c>
      <c r="L711" s="223">
        <v>0</v>
      </c>
      <c r="M711" s="195"/>
      <c r="N711" s="195"/>
      <c r="O711" s="195"/>
      <c r="P711" s="195"/>
      <c r="Q711" s="195"/>
      <c r="R711" s="195"/>
      <c r="S711" s="195"/>
      <c r="T711" s="195"/>
      <c r="U711" s="195"/>
      <c r="V711" s="197"/>
      <c r="W711" s="193" t="str">
        <f>IF(C711=0,"",ROUNDUP(SUM(V713:V717)*(1+L711),0))</f>
        <v/>
      </c>
      <c r="X711" s="263"/>
      <c r="Z711" s="187"/>
      <c r="AA711" s="187"/>
    </row>
    <row r="712" spans="1:27" s="186" customFormat="1" ht="15" customHeight="1" thickBot="1">
      <c r="A712" s="215"/>
      <c r="B712" s="194"/>
      <c r="C712" s="200"/>
      <c r="D712" s="195"/>
      <c r="E712" s="195"/>
      <c r="F712" s="195"/>
      <c r="G712" s="195"/>
      <c r="H712" s="195"/>
      <c r="I712" s="195"/>
      <c r="J712" s="196"/>
      <c r="K712" s="196"/>
      <c r="L712" s="144"/>
      <c r="M712" s="195"/>
      <c r="N712" s="195"/>
      <c r="O712" s="195"/>
      <c r="P712" s="195"/>
      <c r="Q712" s="195"/>
      <c r="R712" s="195"/>
      <c r="S712" s="195"/>
      <c r="T712" s="195"/>
      <c r="U712" s="195"/>
      <c r="V712" s="197"/>
      <c r="W712" s="185"/>
      <c r="X712" s="263"/>
      <c r="Z712" s="187"/>
      <c r="AA712" s="187"/>
    </row>
    <row r="713" spans="1:27" s="186" customFormat="1" ht="15" customHeight="1" thickBot="1">
      <c r="A713" s="278"/>
      <c r="B713" s="168"/>
      <c r="C713" s="200"/>
      <c r="D713" s="195"/>
      <c r="E713" s="195"/>
      <c r="F713" s="195"/>
      <c r="G713" s="195"/>
      <c r="H713" s="195"/>
      <c r="I713" s="195"/>
      <c r="J713" s="196"/>
      <c r="K713" s="196"/>
      <c r="L713" s="144"/>
      <c r="M713" s="195"/>
      <c r="N713" s="195"/>
      <c r="O713" s="195"/>
      <c r="P713" s="195"/>
      <c r="Q713" s="195"/>
      <c r="R713" s="195"/>
      <c r="S713" s="195"/>
      <c r="T713" s="195"/>
      <c r="U713" s="195"/>
      <c r="V713" s="197"/>
      <c r="W713" s="185"/>
      <c r="X713" s="141" t="s">
        <v>524</v>
      </c>
      <c r="Z713" s="187"/>
      <c r="AA713" s="187"/>
    </row>
    <row r="714" spans="1:27" s="186" customFormat="1" ht="15" customHeight="1" thickBot="1">
      <c r="A714" s="214"/>
      <c r="B714" s="331"/>
      <c r="C714" s="224"/>
      <c r="D714" s="201"/>
      <c r="E714" s="201"/>
      <c r="F714" s="201"/>
      <c r="G714" s="201"/>
      <c r="H714" s="201"/>
      <c r="I714" s="201"/>
      <c r="J714" s="234"/>
      <c r="K714" s="234"/>
      <c r="L714" s="162"/>
      <c r="M714" s="201"/>
      <c r="N714" s="163"/>
      <c r="O714" s="163"/>
      <c r="P714" s="257"/>
      <c r="Q714" s="163"/>
      <c r="R714" s="201"/>
      <c r="S714" s="257"/>
      <c r="T714" s="227" t="str">
        <f>IF(P714="","-",ROUNDUP(S714/P714/P714,0))</f>
        <v>-</v>
      </c>
      <c r="U714" s="257"/>
      <c r="V714" s="228" t="str">
        <f>IF(T714="-","-",ROUNDUP(T714*U714,0))</f>
        <v>-</v>
      </c>
      <c r="W714" s="229"/>
      <c r="X714" s="230"/>
      <c r="Z714" s="187"/>
      <c r="AA714" s="187"/>
    </row>
    <row r="715" spans="1:27" s="186" customFormat="1" ht="15" customHeight="1" thickBot="1">
      <c r="A715" s="215"/>
      <c r="B715" s="331"/>
      <c r="C715" s="224"/>
      <c r="D715" s="201"/>
      <c r="E715" s="201"/>
      <c r="F715" s="201"/>
      <c r="G715" s="201"/>
      <c r="H715" s="201"/>
      <c r="I715" s="201"/>
      <c r="J715" s="234"/>
      <c r="K715" s="234"/>
      <c r="L715" s="162"/>
      <c r="M715" s="201" t="str">
        <f>IF(Q715="","",ROUND(Q715/P715,0))</f>
        <v/>
      </c>
      <c r="N715" s="257"/>
      <c r="O715" s="257"/>
      <c r="P715" s="160"/>
      <c r="Q715" s="160"/>
      <c r="R715" s="257">
        <v>360</v>
      </c>
      <c r="S715" s="201"/>
      <c r="T715" s="227" t="e">
        <f>ROUNDUP(N715*PI()/O715/360*R715,)</f>
        <v>#DIV/0!</v>
      </c>
      <c r="U715" s="257"/>
      <c r="V715" s="228" t="str">
        <f>IFERROR(IF(T715="-","-",ROUNDUP(T715*U715,0)),"-")</f>
        <v>-</v>
      </c>
      <c r="W715" s="229"/>
      <c r="X715" s="230"/>
      <c r="Z715" s="187"/>
      <c r="AA715" s="187"/>
    </row>
    <row r="716" spans="1:27" s="186" customFormat="1" ht="15" customHeight="1" thickBot="1">
      <c r="A716" s="214"/>
      <c r="B716" s="331"/>
      <c r="C716" s="224"/>
      <c r="D716" s="201"/>
      <c r="E716" s="201"/>
      <c r="F716" s="201"/>
      <c r="G716" s="201"/>
      <c r="H716" s="201"/>
      <c r="I716" s="201"/>
      <c r="J716" s="234"/>
      <c r="K716" s="234"/>
      <c r="L716" s="162"/>
      <c r="M716" s="201" t="str">
        <f>IF(Q716="","",ROUND(Q716/P716,0))</f>
        <v/>
      </c>
      <c r="N716" s="257"/>
      <c r="O716" s="257"/>
      <c r="P716" s="257"/>
      <c r="Q716" s="257"/>
      <c r="R716" s="257">
        <v>360</v>
      </c>
      <c r="S716" s="201"/>
      <c r="T716" s="227" t="str">
        <f>IF(P716="","-",(ROUND(PI()*N716/O716*R716/360,0))*(ROUND(Q716/P716,0)))</f>
        <v>-</v>
      </c>
      <c r="U716" s="257"/>
      <c r="V716" s="228" t="str">
        <f>IF(T716="-","-",ROUNDUP(T716*U716,0))</f>
        <v>-</v>
      </c>
      <c r="W716" s="229"/>
      <c r="X716" s="230"/>
      <c r="Z716" s="187"/>
      <c r="AA716" s="187"/>
    </row>
    <row r="717" spans="1:27" s="186" customFormat="1" ht="15" customHeight="1">
      <c r="A717" s="214"/>
      <c r="B717" s="167"/>
      <c r="C717" s="200"/>
      <c r="D717" s="195"/>
      <c r="E717" s="195"/>
      <c r="F717" s="195"/>
      <c r="G717" s="195"/>
      <c r="H717" s="195"/>
      <c r="I717" s="195"/>
      <c r="J717" s="196"/>
      <c r="K717" s="196"/>
      <c r="L717" s="144"/>
      <c r="M717" s="195"/>
      <c r="N717" s="195"/>
      <c r="O717" s="151"/>
      <c r="P717" s="157"/>
      <c r="Q717" s="151"/>
      <c r="R717" s="195"/>
      <c r="S717" s="195"/>
      <c r="T717" s="195"/>
      <c r="U717" s="195"/>
      <c r="V717" s="197"/>
      <c r="W717" s="185"/>
      <c r="X717" s="141"/>
      <c r="Z717" s="187"/>
      <c r="AA717" s="187"/>
    </row>
    <row r="718" spans="1:27" s="186" customFormat="1" ht="15" customHeight="1" thickBot="1">
      <c r="A718" s="214"/>
      <c r="B718" s="167"/>
      <c r="C718" s="200"/>
      <c r="D718" s="195"/>
      <c r="E718" s="195"/>
      <c r="F718" s="195"/>
      <c r="G718" s="195"/>
      <c r="H718" s="195"/>
      <c r="I718" s="195"/>
      <c r="J718" s="196"/>
      <c r="K718" s="196"/>
      <c r="L718" s="144"/>
      <c r="M718" s="195"/>
      <c r="N718" s="195"/>
      <c r="O718" s="151"/>
      <c r="P718" s="157"/>
      <c r="Q718" s="151"/>
      <c r="R718" s="195"/>
      <c r="S718" s="195"/>
      <c r="T718" s="195"/>
      <c r="U718" s="195"/>
      <c r="V718" s="197"/>
      <c r="W718" s="185"/>
      <c r="X718" s="141"/>
      <c r="Z718" s="187"/>
      <c r="AA718" s="187"/>
    </row>
    <row r="719" spans="1:27" s="186" customFormat="1" ht="15" customHeight="1" thickBot="1">
      <c r="A719" s="215"/>
      <c r="B719" s="194"/>
      <c r="C719" s="133">
        <f>SUMIF(Densidades!A:A,'Memória TOTAL'!X719,Densidades!B:B)</f>
        <v>0</v>
      </c>
      <c r="D719" s="134">
        <f>SUMIF(Densidades!A:A,'Memória TOTAL'!X719,Densidades!C:C)</f>
        <v>0</v>
      </c>
      <c r="E719" s="134"/>
      <c r="F719" s="134"/>
      <c r="G719" s="134"/>
      <c r="H719" s="134"/>
      <c r="I719" s="134"/>
      <c r="J719" s="136">
        <f>SUMIF(Formatos!A:A,'Memória TOTAL'!X720,Formatos!G:G)</f>
        <v>0</v>
      </c>
      <c r="K719" s="222">
        <f>SUMIF(Densidades!A:A,'Memória TOTAL'!X719,Densidades!I:I)</f>
        <v>0</v>
      </c>
      <c r="L719" s="144"/>
      <c r="M719" s="195"/>
      <c r="N719" s="195"/>
      <c r="O719" s="195"/>
      <c r="P719" s="195"/>
      <c r="Q719" s="195"/>
      <c r="R719" s="195"/>
      <c r="S719" s="195"/>
      <c r="T719" s="195"/>
      <c r="U719" s="195"/>
      <c r="V719" s="233"/>
      <c r="W719" s="193" t="str">
        <f>W711</f>
        <v/>
      </c>
      <c r="X719" s="263"/>
      <c r="Z719" s="187"/>
      <c r="AA719" s="187"/>
    </row>
    <row r="720" spans="1:27" s="186" customFormat="1" ht="15" customHeight="1" thickBot="1">
      <c r="A720" s="215"/>
      <c r="B720" s="194"/>
      <c r="C720" s="200"/>
      <c r="D720" s="195"/>
      <c r="E720" s="195"/>
      <c r="F720" s="195"/>
      <c r="G720" s="195"/>
      <c r="H720" s="195"/>
      <c r="I720" s="195"/>
      <c r="J720" s="196"/>
      <c r="K720" s="196"/>
      <c r="L720" s="144"/>
      <c r="M720" s="195"/>
      <c r="N720" s="195"/>
      <c r="O720" s="195"/>
      <c r="P720" s="195"/>
      <c r="Q720" s="195"/>
      <c r="R720" s="195"/>
      <c r="S720" s="195"/>
      <c r="T720" s="195"/>
      <c r="U720" s="195"/>
      <c r="V720" s="197"/>
      <c r="W720" s="185"/>
      <c r="X720" s="263"/>
      <c r="Z720" s="187"/>
      <c r="AA720" s="187"/>
    </row>
    <row r="721" spans="1:27" s="186" customFormat="1" ht="15" customHeight="1">
      <c r="A721" s="278"/>
      <c r="B721" s="194"/>
      <c r="C721" s="200"/>
      <c r="D721" s="195"/>
      <c r="E721" s="195"/>
      <c r="F721" s="195"/>
      <c r="G721" s="195"/>
      <c r="H721" s="195"/>
      <c r="I721" s="195"/>
      <c r="J721" s="196"/>
      <c r="K721" s="196"/>
      <c r="L721" s="144"/>
      <c r="M721" s="195"/>
      <c r="N721" s="195"/>
      <c r="O721" s="195"/>
      <c r="P721" s="195"/>
      <c r="Q721" s="195"/>
      <c r="R721" s="195"/>
      <c r="S721" s="195"/>
      <c r="T721" s="195"/>
      <c r="U721" s="195"/>
      <c r="V721" s="197"/>
      <c r="W721" s="185"/>
      <c r="X721" s="141" t="s">
        <v>524</v>
      </c>
      <c r="Z721" s="187"/>
      <c r="AA721" s="187"/>
    </row>
    <row r="722" spans="1:27" s="186" customFormat="1" ht="15" customHeight="1" thickBot="1">
      <c r="A722" s="214"/>
      <c r="B722" s="194"/>
      <c r="C722" s="200"/>
      <c r="D722" s="195"/>
      <c r="E722" s="195"/>
      <c r="F722" s="195"/>
      <c r="G722" s="195"/>
      <c r="H722" s="195"/>
      <c r="I722" s="195"/>
      <c r="J722" s="196"/>
      <c r="K722" s="196"/>
      <c r="L722" s="144"/>
      <c r="M722" s="195"/>
      <c r="N722" s="195"/>
      <c r="O722" s="195"/>
      <c r="P722" s="195"/>
      <c r="Q722" s="195"/>
      <c r="R722" s="195"/>
      <c r="S722" s="195"/>
      <c r="T722" s="195"/>
      <c r="U722" s="195"/>
      <c r="V722" s="197"/>
      <c r="W722" s="185"/>
      <c r="X722" s="141"/>
      <c r="Z722" s="187"/>
      <c r="AA722" s="187"/>
    </row>
    <row r="723" spans="1:27" s="186" customFormat="1" ht="15" customHeight="1" thickBot="1">
      <c r="A723" s="214"/>
      <c r="B723" s="194"/>
      <c r="C723" s="133">
        <f>SUMIF(Densidades!A:A,'Memória TOTAL'!X723,Densidades!B:B)</f>
        <v>0</v>
      </c>
      <c r="D723" s="134">
        <f>SUMIF(Densidades!A:A,'Memória TOTAL'!X723,Densidades!C:C)</f>
        <v>0</v>
      </c>
      <c r="E723" s="134"/>
      <c r="F723" s="134"/>
      <c r="G723" s="134"/>
      <c r="H723" s="134"/>
      <c r="I723" s="134"/>
      <c r="J723" s="136">
        <f>SUMIF(Formatos!A:A,'Memória TOTAL'!X724,Formatos!G:G)</f>
        <v>0</v>
      </c>
      <c r="K723" s="222">
        <f>SUMIF(Densidades!A:A,'Memória TOTAL'!X723,Densidades!I:I)</f>
        <v>0</v>
      </c>
      <c r="L723" s="144"/>
      <c r="M723" s="195"/>
      <c r="N723" s="195"/>
      <c r="O723" s="195"/>
      <c r="P723" s="195"/>
      <c r="Q723" s="195"/>
      <c r="R723" s="195"/>
      <c r="S723" s="195"/>
      <c r="T723" s="195"/>
      <c r="U723" s="195"/>
      <c r="V723" s="233"/>
      <c r="W723" s="193" t="str">
        <f>W719</f>
        <v/>
      </c>
      <c r="X723" s="263"/>
      <c r="Z723" s="187"/>
      <c r="AA723" s="187"/>
    </row>
    <row r="724" spans="1:27" s="186" customFormat="1" ht="15" customHeight="1" thickBot="1">
      <c r="A724" s="214"/>
      <c r="B724" s="194"/>
      <c r="C724" s="200"/>
      <c r="D724" s="195"/>
      <c r="E724" s="195"/>
      <c r="F724" s="195"/>
      <c r="G724" s="195"/>
      <c r="H724" s="195"/>
      <c r="I724" s="195"/>
      <c r="J724" s="196"/>
      <c r="K724" s="196"/>
      <c r="L724" s="144"/>
      <c r="M724" s="195"/>
      <c r="N724" s="195"/>
      <c r="O724" s="195"/>
      <c r="P724" s="195"/>
      <c r="Q724" s="195"/>
      <c r="R724" s="195"/>
      <c r="S724" s="195"/>
      <c r="T724" s="195"/>
      <c r="U724" s="195"/>
      <c r="V724" s="197"/>
      <c r="W724" s="185"/>
      <c r="X724" s="263"/>
      <c r="Z724" s="187"/>
      <c r="AA724" s="187"/>
    </row>
    <row r="725" spans="1:27" s="186" customFormat="1" ht="15" customHeight="1">
      <c r="A725" s="214"/>
      <c r="B725" s="194"/>
      <c r="C725" s="200"/>
      <c r="D725" s="195"/>
      <c r="E725" s="195"/>
      <c r="F725" s="195"/>
      <c r="G725" s="195"/>
      <c r="H725" s="195"/>
      <c r="I725" s="195"/>
      <c r="J725" s="196"/>
      <c r="K725" s="196"/>
      <c r="L725" s="144"/>
      <c r="M725" s="195"/>
      <c r="N725" s="195"/>
      <c r="O725" s="195"/>
      <c r="P725" s="195"/>
      <c r="Q725" s="195"/>
      <c r="R725" s="195"/>
      <c r="S725" s="195"/>
      <c r="T725" s="195"/>
      <c r="U725" s="195"/>
      <c r="V725" s="197"/>
      <c r="W725" s="185"/>
      <c r="X725" s="141" t="s">
        <v>524</v>
      </c>
      <c r="Z725" s="187"/>
      <c r="AA725" s="187"/>
    </row>
    <row r="726" spans="1:27" s="186" customFormat="1" ht="15" customHeight="1">
      <c r="A726" s="215"/>
      <c r="B726" s="194"/>
      <c r="C726" s="200"/>
      <c r="D726" s="195"/>
      <c r="E726" s="195"/>
      <c r="F726" s="195"/>
      <c r="G726" s="195"/>
      <c r="H726" s="195"/>
      <c r="I726" s="195"/>
      <c r="J726" s="196"/>
      <c r="K726" s="196"/>
      <c r="L726" s="144"/>
      <c r="M726" s="195"/>
      <c r="N726" s="195"/>
      <c r="O726" s="195"/>
      <c r="P726" s="195"/>
      <c r="Q726" s="195"/>
      <c r="R726" s="195"/>
      <c r="S726" s="195"/>
      <c r="T726" s="195"/>
      <c r="U726" s="195"/>
      <c r="V726" s="197"/>
      <c r="W726" s="185"/>
      <c r="X726" s="141"/>
      <c r="Z726" s="187"/>
      <c r="AA726" s="187"/>
    </row>
    <row r="727" spans="1:27" s="186" customFormat="1" ht="15" customHeight="1" thickBot="1">
      <c r="A727" s="215"/>
      <c r="B727" s="194"/>
      <c r="C727" s="200"/>
      <c r="D727" s="195"/>
      <c r="E727" s="195"/>
      <c r="F727" s="195"/>
      <c r="G727" s="195"/>
      <c r="H727" s="195"/>
      <c r="I727" s="195"/>
      <c r="J727" s="196"/>
      <c r="K727" s="196"/>
      <c r="L727" s="144"/>
      <c r="M727" s="195"/>
      <c r="N727" s="195"/>
      <c r="O727" s="195"/>
      <c r="P727" s="195"/>
      <c r="Q727" s="195"/>
      <c r="R727" s="195"/>
      <c r="S727" s="195"/>
      <c r="T727" s="195"/>
      <c r="U727" s="195"/>
      <c r="V727" s="197"/>
      <c r="W727" s="185"/>
      <c r="X727" s="141"/>
      <c r="Z727" s="187"/>
      <c r="AA727" s="187"/>
    </row>
    <row r="728" spans="1:27" s="186" customFormat="1" ht="15" customHeight="1" thickBot="1">
      <c r="A728" s="278"/>
      <c r="B728" s="194"/>
      <c r="C728" s="133">
        <f>SUMIF(Densidades!A:A,'Memória TOTAL'!X728,Densidades!B:B)</f>
        <v>0.128</v>
      </c>
      <c r="D728" s="134">
        <f>SUMIF(Densidades!A:A,'Memória TOTAL'!X728,Densidades!C:C)</f>
        <v>1</v>
      </c>
      <c r="E728" s="135">
        <f>SUMIF(Formatos!A:A,'Memória TOTAL'!X729,Formatos!E:E)</f>
        <v>6</v>
      </c>
      <c r="F728" s="135">
        <f>SUMIF(Formatos!A:A,'Memória TOTAL'!X729,Formatos!F:F)</f>
        <v>6</v>
      </c>
      <c r="G728" s="135">
        <f>SUMIF(Formatos!A:A,'Memória TOTAL'!X729,Formatos!C:C)</f>
        <v>5500</v>
      </c>
      <c r="H728" s="135">
        <f>SUMIF(Formatos!A:A,'Memória TOTAL'!X729,Formatos!D:D)</f>
        <v>610</v>
      </c>
      <c r="I728" s="134"/>
      <c r="J728" s="136">
        <f>SUMIF(Formatos!A:A,'Memória TOTAL'!X729,Formatos!G:G)</f>
        <v>20.13</v>
      </c>
      <c r="K728" s="222">
        <f>SUMIF(Densidades!A:A,'Memória TOTAL'!X728,Densidades!I:I)</f>
        <v>4</v>
      </c>
      <c r="L728" s="223">
        <v>0</v>
      </c>
      <c r="M728" s="195"/>
      <c r="N728" s="195"/>
      <c r="O728" s="195"/>
      <c r="P728" s="184" t="s">
        <v>2194</v>
      </c>
      <c r="Q728" s="184" t="s">
        <v>2197</v>
      </c>
      <c r="R728" s="184" t="s">
        <v>2196</v>
      </c>
      <c r="S728" s="184" t="s">
        <v>40</v>
      </c>
      <c r="T728" s="184" t="s">
        <v>26</v>
      </c>
      <c r="U728" s="184" t="s">
        <v>38</v>
      </c>
      <c r="V728" s="184" t="s">
        <v>27</v>
      </c>
      <c r="W728" s="193">
        <f>IF(C728=0,"",ROUNDUP(SUM(V729:V729)*(1+L728),2))</f>
        <v>0</v>
      </c>
      <c r="X728" s="263" t="s">
        <v>1807</v>
      </c>
      <c r="Z728" s="187"/>
      <c r="AA728" s="187"/>
    </row>
    <row r="729" spans="1:27" s="186" customFormat="1" ht="15" customHeight="1" thickBot="1">
      <c r="A729" s="214"/>
      <c r="B729" s="194"/>
      <c r="C729" s="200"/>
      <c r="D729" s="195"/>
      <c r="E729" s="195"/>
      <c r="F729" s="195"/>
      <c r="G729" s="195"/>
      <c r="H729" s="195"/>
      <c r="I729" s="195"/>
      <c r="J729" s="196"/>
      <c r="K729" s="196"/>
      <c r="L729" s="144"/>
      <c r="M729" s="195"/>
      <c r="N729" s="195"/>
      <c r="O729" s="195"/>
      <c r="P729" s="257"/>
      <c r="Q729" s="227">
        <f>130*4</f>
        <v>520</v>
      </c>
      <c r="R729" s="257"/>
      <c r="S729" s="227">
        <f>Q729*R729</f>
        <v>0</v>
      </c>
      <c r="T729" s="227">
        <f>ROUNDUP(S729/10^6*(1+L728),2)</f>
        <v>0</v>
      </c>
      <c r="U729" s="226" t="str">
        <f>W711</f>
        <v/>
      </c>
      <c r="V729" s="228" t="str">
        <f>IF(U729="","-",IF(COUNTIF(E728:H728,P729)&lt;1,"Esp. Errada",ROUNDUP((S729*U729)/(IF(P729=E728,1,E728)*IF(P729=G728,1,G728)*IF(P729=H728,1,H728)),0)))</f>
        <v>-</v>
      </c>
      <c r="W729" s="185"/>
      <c r="X729" s="263" t="s">
        <v>2195</v>
      </c>
      <c r="Z729" s="187"/>
      <c r="AA729" s="187"/>
    </row>
    <row r="730" spans="1:27" s="186" customFormat="1" ht="15" customHeight="1">
      <c r="A730" s="214"/>
      <c r="B730" s="194"/>
      <c r="C730" s="200"/>
      <c r="D730" s="195"/>
      <c r="E730" s="195"/>
      <c r="F730" s="195"/>
      <c r="G730" s="195"/>
      <c r="H730" s="195"/>
      <c r="I730" s="195"/>
      <c r="J730" s="196"/>
      <c r="K730" s="196"/>
      <c r="L730" s="144"/>
      <c r="M730" s="195"/>
      <c r="N730" s="195"/>
      <c r="O730" s="195"/>
      <c r="P730" s="195"/>
      <c r="Q730" s="195"/>
      <c r="R730" s="195"/>
      <c r="S730" s="195"/>
      <c r="T730" s="195"/>
      <c r="U730" s="195"/>
      <c r="V730" s="197"/>
      <c r="W730" s="185"/>
      <c r="X730" s="141" t="s">
        <v>524</v>
      </c>
      <c r="Z730" s="187"/>
      <c r="AA730" s="187"/>
    </row>
    <row r="731" spans="1:27" s="186" customFormat="1" ht="15" customHeight="1">
      <c r="A731" s="214"/>
      <c r="B731" s="194"/>
      <c r="C731" s="200"/>
      <c r="D731" s="195"/>
      <c r="E731" s="195"/>
      <c r="F731" s="195"/>
      <c r="G731" s="195"/>
      <c r="H731" s="195"/>
      <c r="I731" s="195"/>
      <c r="J731" s="196"/>
      <c r="K731" s="196"/>
      <c r="L731" s="144"/>
      <c r="M731" s="195"/>
      <c r="N731" s="195"/>
      <c r="O731" s="195"/>
      <c r="P731" s="195"/>
      <c r="Q731" s="195"/>
      <c r="R731" s="195"/>
      <c r="S731" s="195"/>
      <c r="T731" s="195"/>
      <c r="U731" s="195"/>
      <c r="V731" s="197"/>
      <c r="W731" s="185"/>
      <c r="X731" s="141"/>
      <c r="Z731" s="187"/>
      <c r="AA731" s="187"/>
    </row>
    <row r="732" spans="1:27" s="155" customFormat="1" ht="15" customHeight="1" thickBot="1">
      <c r="A732" s="214"/>
      <c r="B732" s="509"/>
      <c r="C732" s="509"/>
      <c r="D732" s="512"/>
      <c r="E732" s="512"/>
      <c r="F732" s="512"/>
      <c r="G732" s="512"/>
      <c r="H732" s="512"/>
      <c r="I732" s="512"/>
      <c r="J732" s="512"/>
      <c r="K732" s="512"/>
      <c r="L732" s="512"/>
      <c r="M732" s="512"/>
      <c r="N732" s="512"/>
      <c r="O732" s="512"/>
      <c r="P732" s="512"/>
      <c r="Q732" s="512"/>
      <c r="R732" s="512"/>
      <c r="S732" s="512"/>
      <c r="T732" s="512"/>
      <c r="U732" s="512"/>
      <c r="V732" s="512"/>
      <c r="W732" s="512"/>
      <c r="X732" s="513"/>
      <c r="Z732" s="156"/>
      <c r="AA732" s="156"/>
    </row>
    <row r="733" spans="1:27" s="186" customFormat="1" ht="15" customHeight="1" thickBot="1">
      <c r="A733" s="278"/>
      <c r="B733" s="272" t="str">
        <f>IF(X734="","ELETRODO ÂNCORA",X734)</f>
        <v>SPECIAL ELECTRODE ST</v>
      </c>
      <c r="C733" s="219" t="s">
        <v>101</v>
      </c>
      <c r="D733" s="184" t="s">
        <v>102</v>
      </c>
      <c r="E733" s="184"/>
      <c r="F733" s="184"/>
      <c r="G733" s="184"/>
      <c r="H733" s="184"/>
      <c r="I733" s="184"/>
      <c r="J733" s="184" t="s">
        <v>103</v>
      </c>
      <c r="K733" s="184" t="s">
        <v>37</v>
      </c>
      <c r="L733" s="184" t="s">
        <v>39</v>
      </c>
      <c r="M733" s="184"/>
      <c r="N733" s="184"/>
      <c r="O733" s="184"/>
      <c r="P733" s="184"/>
      <c r="Q733" s="184"/>
      <c r="R733" s="184"/>
      <c r="S733" s="184"/>
      <c r="T733" s="184"/>
      <c r="U733" s="184" t="s">
        <v>38</v>
      </c>
      <c r="V733" s="184" t="s">
        <v>27</v>
      </c>
      <c r="W733" s="220"/>
      <c r="X733" s="221"/>
      <c r="Z733" s="187"/>
      <c r="AA733" s="187"/>
    </row>
    <row r="734" spans="1:27" s="186" customFormat="1" ht="15" customHeight="1" thickBot="1">
      <c r="A734" s="214"/>
      <c r="B734" s="194"/>
      <c r="C734" s="133">
        <f>SUMIF(Densidades!A:A,'Memória TOTAL'!X734,Densidades!B:B)</f>
        <v>1</v>
      </c>
      <c r="D734" s="134">
        <f>SUMIF(Densidades!A:A,'Memória TOTAL'!X734,Densidades!C:C)</f>
        <v>140</v>
      </c>
      <c r="E734" s="134"/>
      <c r="F734" s="134"/>
      <c r="G734" s="134"/>
      <c r="H734" s="134"/>
      <c r="I734" s="134"/>
      <c r="J734" s="136">
        <f>SUMIF(Formatos!A:A,'Memória TOTAL'!X735,Formatos!G:G)</f>
        <v>0</v>
      </c>
      <c r="K734" s="222">
        <f>SUMIF(Densidades!A:A,'Memória TOTAL'!X734,Densidades!I:I)</f>
        <v>9</v>
      </c>
      <c r="L734" s="223">
        <v>0</v>
      </c>
      <c r="M734" s="195"/>
      <c r="N734" s="195"/>
      <c r="O734" s="195"/>
      <c r="P734" s="195"/>
      <c r="Q734" s="195"/>
      <c r="R734" s="195"/>
      <c r="S734" s="195"/>
      <c r="T734" s="195"/>
      <c r="U734" s="195"/>
      <c r="V734" s="197"/>
      <c r="W734" s="193">
        <f>IF(C734=0,"",ROUNDUP(SUM(V737:V739)*(1+L734),0))</f>
        <v>0</v>
      </c>
      <c r="X734" s="263" t="s">
        <v>1084</v>
      </c>
      <c r="Z734" s="187"/>
      <c r="AA734" s="187"/>
    </row>
    <row r="735" spans="1:27" s="186" customFormat="1" ht="15" customHeight="1" thickBot="1">
      <c r="A735" s="214"/>
      <c r="B735" s="194"/>
      <c r="C735" s="200"/>
      <c r="D735" s="195"/>
      <c r="E735" s="195"/>
      <c r="F735" s="195"/>
      <c r="G735" s="195"/>
      <c r="H735" s="195"/>
      <c r="I735" s="195"/>
      <c r="J735" s="196"/>
      <c r="K735" s="196"/>
      <c r="L735" s="144"/>
      <c r="M735" s="195"/>
      <c r="N735" s="195"/>
      <c r="O735" s="195"/>
      <c r="P735" s="195"/>
      <c r="Q735" s="195"/>
      <c r="R735" s="195"/>
      <c r="S735" s="195"/>
      <c r="T735" s="195"/>
      <c r="U735" s="195"/>
      <c r="V735" s="197"/>
      <c r="W735" s="185"/>
      <c r="X735" s="263" t="s">
        <v>1079</v>
      </c>
      <c r="Z735" s="187"/>
      <c r="AA735" s="187"/>
    </row>
    <row r="736" spans="1:27" s="186" customFormat="1" ht="15" customHeight="1" thickBot="1">
      <c r="A736" s="214"/>
      <c r="B736" s="168"/>
      <c r="C736" s="200"/>
      <c r="D736" s="195"/>
      <c r="E736" s="195"/>
      <c r="F736" s="195"/>
      <c r="G736" s="195"/>
      <c r="H736" s="195"/>
      <c r="I736" s="195"/>
      <c r="J736" s="196"/>
      <c r="K736" s="196"/>
      <c r="L736" s="144"/>
      <c r="M736" s="195"/>
      <c r="N736" s="195"/>
      <c r="O736" s="195"/>
      <c r="P736" s="195"/>
      <c r="Q736" s="195"/>
      <c r="R736" s="195"/>
      <c r="S736" s="195"/>
      <c r="T736" s="195"/>
      <c r="U736" s="195"/>
      <c r="V736" s="197"/>
      <c r="W736" s="185"/>
      <c r="X736" s="141" t="s">
        <v>524</v>
      </c>
      <c r="Z736" s="187"/>
      <c r="AA736" s="187"/>
    </row>
    <row r="737" spans="1:27" s="186" customFormat="1" ht="15" customHeight="1" thickBot="1">
      <c r="A737" s="214"/>
      <c r="B737" s="158" t="s">
        <v>1081</v>
      </c>
      <c r="C737" s="224"/>
      <c r="D737" s="201"/>
      <c r="E737" s="201"/>
      <c r="F737" s="201"/>
      <c r="G737" s="201"/>
      <c r="H737" s="201"/>
      <c r="I737" s="201"/>
      <c r="J737" s="234"/>
      <c r="K737" s="234"/>
      <c r="L737" s="162"/>
      <c r="M737" s="201"/>
      <c r="N737" s="163"/>
      <c r="O737" s="201"/>
      <c r="P737" s="201"/>
      <c r="Q737" s="201"/>
      <c r="R737" s="201"/>
      <c r="S737" s="201"/>
      <c r="T737" s="227"/>
      <c r="U737" s="257"/>
      <c r="V737" s="337">
        <f>U737/2/D734</f>
        <v>0</v>
      </c>
      <c r="W737" s="229"/>
      <c r="X737" s="230"/>
      <c r="Z737" s="187"/>
      <c r="AA737" s="187"/>
    </row>
    <row r="738" spans="1:27" s="186" customFormat="1" ht="15" customHeight="1" thickBot="1">
      <c r="A738" s="215"/>
      <c r="B738" s="158" t="s">
        <v>1096</v>
      </c>
      <c r="C738" s="224"/>
      <c r="D738" s="201"/>
      <c r="E738" s="201"/>
      <c r="F738" s="201"/>
      <c r="G738" s="201"/>
      <c r="H738" s="201"/>
      <c r="I738" s="201"/>
      <c r="J738" s="234"/>
      <c r="K738" s="234"/>
      <c r="L738" s="162"/>
      <c r="M738" s="201" t="str">
        <f>IF(Q738="","",ROUND(Q738/P738,0))</f>
        <v/>
      </c>
      <c r="N738" s="163"/>
      <c r="O738" s="201"/>
      <c r="P738" s="201"/>
      <c r="Q738" s="201"/>
      <c r="R738" s="201"/>
      <c r="S738" s="201"/>
      <c r="T738" s="227"/>
      <c r="U738" s="257"/>
      <c r="V738" s="337">
        <f>U738/D734</f>
        <v>0</v>
      </c>
      <c r="W738" s="229"/>
      <c r="X738" s="230"/>
      <c r="Z738" s="187"/>
      <c r="AA738" s="187"/>
    </row>
    <row r="739" spans="1:27" s="186" customFormat="1" ht="15" customHeight="1">
      <c r="A739" s="215"/>
      <c r="B739" s="167"/>
      <c r="C739" s="200"/>
      <c r="D739" s="195"/>
      <c r="E739" s="195"/>
      <c r="F739" s="195"/>
      <c r="G739" s="195"/>
      <c r="H739" s="195"/>
      <c r="I739" s="195"/>
      <c r="J739" s="196"/>
      <c r="K739" s="196"/>
      <c r="L739" s="144"/>
      <c r="M739" s="195"/>
      <c r="N739" s="195"/>
      <c r="O739" s="151"/>
      <c r="P739" s="157"/>
      <c r="Q739" s="151"/>
      <c r="R739" s="195"/>
      <c r="S739" s="195"/>
      <c r="T739" s="195"/>
      <c r="U739" s="195"/>
      <c r="V739" s="197"/>
      <c r="W739" s="185"/>
      <c r="X739" s="141"/>
      <c r="Z739" s="187"/>
      <c r="AA739" s="187"/>
    </row>
    <row r="740" spans="1:27" s="186" customFormat="1" ht="15" customHeight="1" thickBot="1">
      <c r="A740" s="214"/>
      <c r="B740" s="509"/>
      <c r="C740" s="509"/>
      <c r="D740" s="512"/>
      <c r="E740" s="512"/>
      <c r="F740" s="512"/>
      <c r="G740" s="512"/>
      <c r="H740" s="512"/>
      <c r="I740" s="512"/>
      <c r="J740" s="512"/>
      <c r="K740" s="512"/>
      <c r="L740" s="512"/>
      <c r="M740" s="512"/>
      <c r="N740" s="512"/>
      <c r="O740" s="512"/>
      <c r="P740" s="512"/>
      <c r="Q740" s="512"/>
      <c r="R740" s="512"/>
      <c r="S740" s="512"/>
      <c r="T740" s="512"/>
      <c r="U740" s="512"/>
      <c r="V740" s="512"/>
      <c r="W740" s="512"/>
      <c r="X740" s="513"/>
      <c r="Z740" s="187"/>
      <c r="AA740" s="187"/>
    </row>
    <row r="741" spans="1:27" ht="15" customHeight="1" thickBot="1">
      <c r="A741" s="215"/>
      <c r="B741" s="272" t="str">
        <f>IF(X742="","TIJOLO PARALELO",X742)</f>
        <v>TIJOLO PARALELO</v>
      </c>
      <c r="C741" s="273" t="s">
        <v>101</v>
      </c>
      <c r="D741" s="274" t="s">
        <v>102</v>
      </c>
      <c r="E741" s="274" t="s">
        <v>42</v>
      </c>
      <c r="F741" s="274" t="s">
        <v>42</v>
      </c>
      <c r="G741" s="274" t="s">
        <v>43</v>
      </c>
      <c r="H741" s="274" t="s">
        <v>44</v>
      </c>
      <c r="I741" s="274" t="s">
        <v>47</v>
      </c>
      <c r="J741" s="274" t="s">
        <v>103</v>
      </c>
      <c r="K741" s="274" t="s">
        <v>37</v>
      </c>
      <c r="L741" s="274" t="s">
        <v>39</v>
      </c>
      <c r="M741" s="274" t="s">
        <v>41</v>
      </c>
      <c r="N741" s="274" t="s">
        <v>46</v>
      </c>
      <c r="O741" s="274" t="s">
        <v>67</v>
      </c>
      <c r="P741" s="274" t="s">
        <v>113</v>
      </c>
      <c r="Q741" s="274"/>
      <c r="R741" s="274"/>
      <c r="S741" s="274" t="s">
        <v>70</v>
      </c>
      <c r="T741" s="274" t="s">
        <v>26</v>
      </c>
      <c r="U741" s="274" t="s">
        <v>38</v>
      </c>
      <c r="V741" s="275" t="s">
        <v>27</v>
      </c>
      <c r="W741" s="276"/>
      <c r="X741" s="277"/>
    </row>
    <row r="742" spans="1:27" ht="15" customHeight="1" thickBot="1">
      <c r="A742" s="215"/>
      <c r="B742" s="210"/>
      <c r="C742" s="133">
        <f>SUMIF(Densidades!A:A,'Memória TOTAL'!X742,Densidades!B:B)</f>
        <v>0</v>
      </c>
      <c r="D742" s="134">
        <f>SUMIF(Densidades!A:A,'Memória TOTAL'!X742,Densidades!C:C)</f>
        <v>0</v>
      </c>
      <c r="E742" s="135">
        <f>SUMIF(Formatos!A:A,'Memória TOTAL'!X743,Formatos!E:E)</f>
        <v>0</v>
      </c>
      <c r="F742" s="135">
        <f>SUMIF(Formatos!A:A,'Memória TOTAL'!X743,Formatos!F:F)</f>
        <v>0</v>
      </c>
      <c r="G742" s="135">
        <f>SUMIF(Formatos!A:A,'Memória TOTAL'!X743,Formatos!C:C)</f>
        <v>0</v>
      </c>
      <c r="H742" s="135">
        <f>SUMIF(Formatos!A:A,'Memória TOTAL'!X743,Formatos!D:D)</f>
        <v>0</v>
      </c>
      <c r="I742" s="135">
        <f>SUMIF(Densidades!A:A,'Memória TOTAL'!X742,Densidades!H:H)</f>
        <v>0</v>
      </c>
      <c r="J742" s="136">
        <f>SUMIF(Formatos!A:A,'Memória TOTAL'!X743,Formatos!G:G)</f>
        <v>0</v>
      </c>
      <c r="K742" s="137">
        <f>SUMIF(Densidades!A:A,'Memória TOTAL'!X742,Densidades!I:I)</f>
        <v>0</v>
      </c>
      <c r="L742" s="138">
        <v>0</v>
      </c>
      <c r="M742" s="139"/>
      <c r="N742" s="257"/>
      <c r="O742" s="139"/>
      <c r="P742" s="139"/>
      <c r="Q742" s="139"/>
      <c r="R742" s="139"/>
      <c r="S742" s="139"/>
      <c r="T742" s="139"/>
      <c r="U742" s="139"/>
      <c r="V742" s="145"/>
      <c r="W742" s="193" t="str">
        <f>IF(C742=0,"",ROUNDUP(SUM(V745:V747)*(1+L742),0))</f>
        <v/>
      </c>
      <c r="X742" s="263"/>
      <c r="Y742" s="186"/>
    </row>
    <row r="743" spans="1:27" ht="15" customHeight="1" thickBot="1">
      <c r="A743" s="214"/>
      <c r="B743" s="211"/>
      <c r="C743" s="142"/>
      <c r="D743" s="139"/>
      <c r="E743" s="135">
        <f t="shared" ref="E743:K743" si="109">E742</f>
        <v>0</v>
      </c>
      <c r="F743" s="135">
        <f t="shared" si="109"/>
        <v>0</v>
      </c>
      <c r="G743" s="135">
        <f t="shared" si="109"/>
        <v>0</v>
      </c>
      <c r="H743" s="135">
        <f t="shared" si="109"/>
        <v>0</v>
      </c>
      <c r="I743" s="135">
        <f t="shared" si="109"/>
        <v>0</v>
      </c>
      <c r="J743" s="135">
        <f t="shared" si="109"/>
        <v>0</v>
      </c>
      <c r="K743" s="137">
        <f t="shared" si="109"/>
        <v>0</v>
      </c>
      <c r="L743" s="144"/>
      <c r="M743" s="139"/>
      <c r="N743" s="135">
        <f>N742</f>
        <v>0</v>
      </c>
      <c r="O743" s="139"/>
      <c r="P743" s="139"/>
      <c r="Q743" s="139"/>
      <c r="R743" s="139"/>
      <c r="S743" s="139"/>
      <c r="T743" s="139"/>
      <c r="U743" s="139"/>
      <c r="V743" s="145"/>
      <c r="W743" s="146"/>
      <c r="X743" s="263"/>
      <c r="Y743" s="186"/>
    </row>
    <row r="744" spans="1:27" ht="15" customHeight="1" thickBot="1">
      <c r="A744" s="214"/>
      <c r="B744" s="212" t="s">
        <v>71</v>
      </c>
      <c r="C744" s="142"/>
      <c r="D744" s="139"/>
      <c r="E744" s="135">
        <f t="shared" ref="E744:K744" si="110">E743</f>
        <v>0</v>
      </c>
      <c r="F744" s="135">
        <f t="shared" si="110"/>
        <v>0</v>
      </c>
      <c r="G744" s="135">
        <f t="shared" si="110"/>
        <v>0</v>
      </c>
      <c r="H744" s="135">
        <f t="shared" si="110"/>
        <v>0</v>
      </c>
      <c r="I744" s="135">
        <f t="shared" si="110"/>
        <v>0</v>
      </c>
      <c r="J744" s="135">
        <f t="shared" si="110"/>
        <v>0</v>
      </c>
      <c r="K744" s="137">
        <f t="shared" si="110"/>
        <v>0</v>
      </c>
      <c r="L744" s="144"/>
      <c r="M744" s="139"/>
      <c r="N744" s="135">
        <f>N743</f>
        <v>0</v>
      </c>
      <c r="O744" s="139"/>
      <c r="P744" s="139"/>
      <c r="Q744" s="139"/>
      <c r="R744" s="139"/>
      <c r="S744" s="139"/>
      <c r="T744" s="139"/>
      <c r="U744" s="195" t="s">
        <v>673</v>
      </c>
      <c r="V744" s="145"/>
      <c r="W744" s="146"/>
      <c r="X744" s="147" t="s">
        <v>524</v>
      </c>
    </row>
    <row r="745" spans="1:27" ht="15" customHeight="1" thickBot="1">
      <c r="A745" s="214"/>
      <c r="B745" s="331"/>
      <c r="C745" s="159"/>
      <c r="D745" s="160"/>
      <c r="E745" s="176">
        <f t="shared" ref="E745:K745" si="111">E744</f>
        <v>0</v>
      </c>
      <c r="F745" s="176">
        <f t="shared" si="111"/>
        <v>0</v>
      </c>
      <c r="G745" s="176">
        <f t="shared" si="111"/>
        <v>0</v>
      </c>
      <c r="H745" s="176">
        <f t="shared" si="111"/>
        <v>0</v>
      </c>
      <c r="I745" s="176">
        <f t="shared" si="111"/>
        <v>0</v>
      </c>
      <c r="J745" s="176">
        <f t="shared" si="111"/>
        <v>0</v>
      </c>
      <c r="K745" s="177">
        <f t="shared" si="111"/>
        <v>0</v>
      </c>
      <c r="L745" s="162"/>
      <c r="M745" s="160"/>
      <c r="N745" s="176">
        <f>N744</f>
        <v>0</v>
      </c>
      <c r="O745" s="160"/>
      <c r="P745" s="257"/>
      <c r="Q745" s="160"/>
      <c r="R745" s="160"/>
      <c r="S745" s="257"/>
      <c r="T745" s="178" t="str">
        <f>IF(S745="","-",IF(COUNTIF(E745:H745,P745)&lt;1,"Esp. Errada",ROUNDUP(S745/((G745+N745)*(H745+N745)*((E745+N745)+(F745+N745))/2/(P745+N745)),0)))</f>
        <v>-</v>
      </c>
      <c r="U745" s="257"/>
      <c r="V745" s="179">
        <f>IF(S745="",0,IF(OR(P745=E745,P745=G745,P745=H745),T745*U745,"ESP. ERRADA"))</f>
        <v>0</v>
      </c>
      <c r="W745" s="180"/>
      <c r="X745" s="181"/>
    </row>
    <row r="746" spans="1:27" s="186" customFormat="1" ht="15" customHeight="1" thickBot="1">
      <c r="A746" s="214"/>
      <c r="B746" s="332"/>
      <c r="C746" s="224"/>
      <c r="D746" s="201"/>
      <c r="E746" s="176">
        <f t="shared" ref="E746:K746" si="112">E744</f>
        <v>0</v>
      </c>
      <c r="F746" s="176">
        <f t="shared" si="112"/>
        <v>0</v>
      </c>
      <c r="G746" s="176">
        <f t="shared" si="112"/>
        <v>0</v>
      </c>
      <c r="H746" s="176">
        <f t="shared" si="112"/>
        <v>0</v>
      </c>
      <c r="I746" s="176">
        <f t="shared" si="112"/>
        <v>0</v>
      </c>
      <c r="J746" s="176">
        <f t="shared" si="112"/>
        <v>0</v>
      </c>
      <c r="K746" s="225">
        <f t="shared" si="112"/>
        <v>0</v>
      </c>
      <c r="L746" s="162"/>
      <c r="M746" s="270"/>
      <c r="N746" s="176">
        <f>N744</f>
        <v>0</v>
      </c>
      <c r="O746" s="201"/>
      <c r="P746" s="257"/>
      <c r="Q746" s="201"/>
      <c r="R746" s="201"/>
      <c r="S746" s="201"/>
      <c r="T746" s="227" t="str">
        <f>IF(M746="","-",IF(COUNTIF(E746:H746,P746)&lt;1,"Esp. Errada",ROUNDUP(M746/IF(G746=P746,G746,(G746+N746))/IF(H746=P746,H746,(H746+N746))/IF(E746=P746,E746,(E746+N746)),0)))</f>
        <v>-</v>
      </c>
      <c r="U746" s="257"/>
      <c r="V746" s="179">
        <f>IF(M746="",0,IF(OR(P746=E746,P746=G746,P746=H746),T746*U746,"ESP. ERRADA"))</f>
        <v>0</v>
      </c>
      <c r="W746" s="229"/>
      <c r="X746" s="230"/>
      <c r="Z746" s="187"/>
      <c r="AA746" s="187"/>
    </row>
    <row r="747" spans="1:27" s="186" customFormat="1" ht="15" customHeight="1">
      <c r="A747" s="215"/>
      <c r="B747" s="210"/>
      <c r="C747" s="200"/>
      <c r="D747" s="195"/>
      <c r="E747" s="195"/>
      <c r="F747" s="195"/>
      <c r="G747" s="195"/>
      <c r="H747" s="195"/>
      <c r="I747" s="195"/>
      <c r="J747" s="196"/>
      <c r="K747" s="196"/>
      <c r="L747" s="144"/>
      <c r="M747" s="195"/>
      <c r="N747" s="195"/>
      <c r="O747" s="195"/>
      <c r="P747" s="195"/>
      <c r="Q747" s="195"/>
      <c r="R747" s="195"/>
      <c r="S747" s="195"/>
      <c r="T747" s="195"/>
      <c r="U747" s="195"/>
      <c r="V747" s="197"/>
      <c r="W747" s="185"/>
      <c r="X747" s="141"/>
      <c r="Z747" s="187"/>
      <c r="AA747" s="187"/>
    </row>
    <row r="748" spans="1:27" s="186" customFormat="1" ht="15" customHeight="1" thickBot="1">
      <c r="A748" s="215"/>
      <c r="B748" s="279" t="s">
        <v>1010</v>
      </c>
      <c r="C748" s="280"/>
      <c r="D748" s="281"/>
      <c r="E748" s="281"/>
      <c r="F748" s="281"/>
      <c r="G748" s="281"/>
      <c r="H748" s="281"/>
      <c r="I748" s="281"/>
      <c r="J748" s="282"/>
      <c r="K748" s="282"/>
      <c r="L748" s="283"/>
      <c r="M748" s="281"/>
      <c r="N748" s="281"/>
      <c r="O748" s="281"/>
      <c r="P748" s="281"/>
      <c r="Q748" s="281"/>
      <c r="R748" s="281"/>
      <c r="S748" s="284"/>
      <c r="T748" s="281"/>
      <c r="U748" s="281" t="s">
        <v>678</v>
      </c>
      <c r="V748" s="285" t="s">
        <v>27</v>
      </c>
      <c r="W748" s="286"/>
      <c r="X748" s="287"/>
      <c r="Z748" s="187"/>
      <c r="AA748" s="187"/>
    </row>
    <row r="749" spans="1:27" s="186" customFormat="1" ht="15" customHeight="1" thickBot="1">
      <c r="A749" s="215"/>
      <c r="B749" s="210"/>
      <c r="C749" s="133">
        <f>SUMIF(Densidades!A:A,'Memória TOTAL'!X749,Densidades!B:B)</f>
        <v>0</v>
      </c>
      <c r="D749" s="134">
        <f>SUMIF(Densidades!A:A,'Memória TOTAL'!X749,Densidades!C:C)</f>
        <v>0</v>
      </c>
      <c r="E749" s="134" t="str">
        <f>IF(I749=15,"FIRECLAY MORTAR",IF(I749=16,"ALUMINA MORTAR",IF(I749=17,"BASIC MORTAR",IF(I749=18,"MORTAR","-"))))</f>
        <v>-</v>
      </c>
      <c r="F749" s="134" t="str">
        <f>IF(I749=15,"FIRECLAY MORTAR",IF(I749=16,"ALUMINA MORTAR",IF(I749=17,"BASIC MORTAR",IF(I749=18,"MORTAR","-"))))</f>
        <v>-</v>
      </c>
      <c r="G749" s="134" t="str">
        <f>IF(I749=15,"FIRECLAY MORTAR",IF(I749=16,"ALUMINA MORTAR",IF(I749=17,"BASIC MORTAR",IF(I749=18,"MORTAR","-"))))</f>
        <v>-</v>
      </c>
      <c r="H749" s="134" t="str">
        <f>IF(I749=15,"FIRECLAY MORTAR",IF(I749=16,"ALUMINA MORTAR",IF(I749=17,"BASIC MORTAR",IF(I749=18,"MORTAR","-"))))</f>
        <v>-</v>
      </c>
      <c r="I749" s="134">
        <f>SUMIF(Densidades!A:A,'Memória TOTAL'!X749,Densidades!G:G)</f>
        <v>0</v>
      </c>
      <c r="J749" s="136">
        <f>SUMIF(Formatos!A:A,'Memória TOTAL'!X750,Formatos!G:G)</f>
        <v>0</v>
      </c>
      <c r="K749" s="137">
        <f>SUMIF(Densidades!A:A,'Memória TOTAL'!X749,Densidades!I:I)</f>
        <v>0</v>
      </c>
      <c r="L749" s="188">
        <v>0</v>
      </c>
      <c r="M749" s="189"/>
      <c r="N749" s="189"/>
      <c r="O749" s="189"/>
      <c r="P749" s="189"/>
      <c r="Q749" s="189"/>
      <c r="R749" s="189"/>
      <c r="S749" s="189"/>
      <c r="T749" s="190"/>
      <c r="U749" s="290"/>
      <c r="V749" s="192" t="e">
        <f>(W742*J742*C749)*U749</f>
        <v>#VALUE!</v>
      </c>
      <c r="W749" s="193" t="str">
        <f>IF(C749=0,"",ROUNDUP(SUM(V749:V750)*(1+L749)/D749,2)*D749)</f>
        <v/>
      </c>
      <c r="X749" s="263"/>
      <c r="Z749" s="187"/>
      <c r="AA749" s="187"/>
    </row>
    <row r="750" spans="1:27" s="186" customFormat="1" ht="15" customHeight="1">
      <c r="A750" s="215"/>
      <c r="B750" s="210"/>
      <c r="C750" s="133"/>
      <c r="D750" s="195"/>
      <c r="E750" s="195"/>
      <c r="F750" s="195"/>
      <c r="G750" s="195"/>
      <c r="H750" s="195"/>
      <c r="I750" s="195"/>
      <c r="J750" s="196"/>
      <c r="K750" s="196"/>
      <c r="L750" s="144"/>
      <c r="M750" s="195"/>
      <c r="N750" s="195"/>
      <c r="O750" s="195"/>
      <c r="P750" s="195"/>
      <c r="Q750" s="195"/>
      <c r="R750" s="195"/>
      <c r="S750" s="195"/>
      <c r="T750" s="195"/>
      <c r="U750" s="195"/>
      <c r="V750" s="197"/>
      <c r="W750" s="185"/>
      <c r="X750" s="141" t="str">
        <f>IF(AND(H749="-",G749="-",F749="-"),E749,IF(AND(H749="-",G749="-",E749="-"),F749,IF(AND(H749="-",F749="-",E749="-"),G749,H749)))</f>
        <v>-</v>
      </c>
      <c r="Z750" s="187"/>
      <c r="AA750" s="187"/>
    </row>
    <row r="751" spans="1:27" s="186" customFormat="1" ht="15" customHeight="1">
      <c r="A751" s="215"/>
      <c r="B751" s="213"/>
      <c r="C751" s="133"/>
      <c r="D751" s="195"/>
      <c r="E751" s="195"/>
      <c r="F751" s="195"/>
      <c r="G751" s="195"/>
      <c r="H751" s="195"/>
      <c r="I751" s="195"/>
      <c r="J751" s="196"/>
      <c r="K751" s="196"/>
      <c r="L751" s="144"/>
      <c r="M751" s="195"/>
      <c r="N751" s="195"/>
      <c r="O751" s="195"/>
      <c r="P751" s="195"/>
      <c r="Q751" s="195"/>
      <c r="R751" s="195"/>
      <c r="S751" s="195"/>
      <c r="T751" s="195"/>
      <c r="U751" s="195"/>
      <c r="V751" s="197"/>
      <c r="W751" s="185"/>
      <c r="X751" s="141" t="s">
        <v>2</v>
      </c>
      <c r="Z751" s="187"/>
      <c r="AA751" s="187"/>
    </row>
    <row r="752" spans="1:27" ht="15" customHeight="1">
      <c r="A752" s="215"/>
      <c r="B752" s="131"/>
      <c r="C752" s="169"/>
      <c r="D752" s="170"/>
      <c r="E752" s="170"/>
      <c r="F752" s="170"/>
      <c r="G752" s="170"/>
      <c r="H752" s="170"/>
      <c r="I752" s="170"/>
      <c r="J752" s="171"/>
      <c r="K752" s="171"/>
      <c r="L752" s="172"/>
      <c r="M752" s="170"/>
      <c r="N752" s="170"/>
      <c r="O752" s="170"/>
      <c r="P752" s="170"/>
      <c r="Q752" s="170"/>
      <c r="R752" s="170"/>
      <c r="S752" s="170"/>
      <c r="T752" s="170"/>
      <c r="U752" s="170"/>
      <c r="V752" s="173"/>
      <c r="W752" s="174"/>
      <c r="X752" s="175"/>
    </row>
    <row r="753" spans="1:27" s="186" customFormat="1" ht="15" customHeight="1" thickBot="1">
      <c r="A753" s="215"/>
      <c r="B753" s="279" t="s">
        <v>1011</v>
      </c>
      <c r="C753" s="280"/>
      <c r="D753" s="281"/>
      <c r="E753" s="281"/>
      <c r="F753" s="281"/>
      <c r="G753" s="281"/>
      <c r="H753" s="281"/>
      <c r="I753" s="281"/>
      <c r="J753" s="282"/>
      <c r="K753" s="282"/>
      <c r="L753" s="283"/>
      <c r="M753" s="281"/>
      <c r="N753" s="281"/>
      <c r="O753" s="281"/>
      <c r="P753" s="281"/>
      <c r="Q753" s="281"/>
      <c r="R753" s="281" t="s">
        <v>636</v>
      </c>
      <c r="S753" s="284" t="s">
        <v>637</v>
      </c>
      <c r="T753" s="281" t="s">
        <v>638</v>
      </c>
      <c r="U753" s="281" t="s">
        <v>38</v>
      </c>
      <c r="V753" s="285" t="s">
        <v>27</v>
      </c>
      <c r="W753" s="286"/>
      <c r="X753" s="287"/>
      <c r="Z753" s="187"/>
      <c r="AA753" s="187"/>
    </row>
    <row r="754" spans="1:27" s="186" customFormat="1" ht="15" customHeight="1" thickBot="1">
      <c r="A754" s="215"/>
      <c r="B754" s="210"/>
      <c r="C754" s="133">
        <f>SUMIF(Densidades!A:A,'Memória TOTAL'!X754,Densidades!B:B)</f>
        <v>0</v>
      </c>
      <c r="D754" s="134">
        <f>SUMIF(Densidades!A:A,'Memória TOTAL'!X754,Densidades!C:C)</f>
        <v>0</v>
      </c>
      <c r="E754" s="134" t="str">
        <f>IF(I754=15,"FIRECLAY MORTAR",IF(I754=16,"ALUMINA MORTAR",IF(I754=17,"BASIC MORTAR",IF(I754=18,"MORTAR","-"))))</f>
        <v>-</v>
      </c>
      <c r="F754" s="134" t="str">
        <f>IF(I754=15,"FIRECLAY MORTAR",IF(I754=16,"ALUMINA MORTAR",IF(I754=17,"BASIC MORTAR",IF(I754=18,"MORTAR","-"))))</f>
        <v>-</v>
      </c>
      <c r="G754" s="134" t="str">
        <f>IF(I754=15,"FIRECLAY MORTAR",IF(I754=16,"ALUMINA MORTAR",IF(I754=17,"BASIC MORTAR",IF(I754=18,"MORTAR","-"))))</f>
        <v>-</v>
      </c>
      <c r="H754" s="134" t="str">
        <f>IF(I754=15,"FIRECLAY MORTAR",IF(I754=16,"ALUMINA MORTAR",IF(I754=17,"BASIC MORTAR",IF(I754=18,"MORTAR","-"))))</f>
        <v>-</v>
      </c>
      <c r="I754" s="134">
        <f>SUMIF(Densidades!A:A,'Memória TOTAL'!X754,Densidades!G:G)</f>
        <v>0</v>
      </c>
      <c r="J754" s="136">
        <f>SUMIF(Formatos!A:A,'Memória TOTAL'!X755,Formatos!G:G)</f>
        <v>0</v>
      </c>
      <c r="K754" s="222">
        <f>SUMIF(Densidades!A:A,'Memória TOTAL'!X754,Densidades!I:I)</f>
        <v>0</v>
      </c>
      <c r="L754" s="188">
        <v>0</v>
      </c>
      <c r="M754" s="189"/>
      <c r="N754" s="189"/>
      <c r="O754" s="189"/>
      <c r="P754" s="189"/>
      <c r="Q754" s="189"/>
      <c r="R754" s="190">
        <f>((G742*H742)+(G742*E742)+(H742*E742))/1000000</f>
        <v>0</v>
      </c>
      <c r="S754" s="259">
        <v>2</v>
      </c>
      <c r="T754" s="190">
        <f>R754*S754</f>
        <v>0</v>
      </c>
      <c r="U754" s="191">
        <f>SUM(W742:W743)</f>
        <v>0</v>
      </c>
      <c r="V754" s="192">
        <f>(T754*C754*(1+L754))*U754</f>
        <v>0</v>
      </c>
      <c r="W754" s="140" t="str">
        <f>IF(C754=0,"",ROUNDUP(SUM(V754:V755)*(1+L754)/D754,2)*D754)</f>
        <v/>
      </c>
      <c r="X754" s="263"/>
      <c r="Z754" s="187"/>
      <c r="AA754" s="187"/>
    </row>
    <row r="755" spans="1:27" s="186" customFormat="1" ht="15" customHeight="1">
      <c r="A755" s="215"/>
      <c r="B755" s="210"/>
      <c r="C755" s="133"/>
      <c r="D755" s="195"/>
      <c r="E755" s="195"/>
      <c r="F755" s="195"/>
      <c r="G755" s="195"/>
      <c r="H755" s="195"/>
      <c r="I755" s="195"/>
      <c r="J755" s="196"/>
      <c r="K755" s="196"/>
      <c r="L755" s="144"/>
      <c r="M755" s="195"/>
      <c r="N755" s="195"/>
      <c r="O755" s="195"/>
      <c r="P755" s="195"/>
      <c r="Q755" s="195"/>
      <c r="R755" s="195"/>
      <c r="S755" s="195"/>
      <c r="T755" s="195"/>
      <c r="U755" s="195"/>
      <c r="V755" s="197"/>
      <c r="W755" s="185"/>
      <c r="X755" s="141" t="str">
        <f>IF(AND(H754="-",G754="-",F754="-"),E754,IF(AND(H754="-",G754="-",E754="-"),F754,IF(AND(H754="-",F754="-",E754="-"),G754,H754)))</f>
        <v>-</v>
      </c>
      <c r="Z755" s="187"/>
      <c r="AA755" s="187"/>
    </row>
    <row r="756" spans="1:27" s="186" customFormat="1" ht="15" customHeight="1">
      <c r="A756" s="215"/>
      <c r="B756" s="213"/>
      <c r="C756" s="133"/>
      <c r="D756" s="195"/>
      <c r="E756" s="195"/>
      <c r="F756" s="195"/>
      <c r="G756" s="195"/>
      <c r="H756" s="195"/>
      <c r="I756" s="195"/>
      <c r="J756" s="196"/>
      <c r="K756" s="196"/>
      <c r="L756" s="144"/>
      <c r="M756" s="195"/>
      <c r="N756" s="195"/>
      <c r="O756" s="195"/>
      <c r="P756" s="195"/>
      <c r="Q756" s="195"/>
      <c r="R756" s="195"/>
      <c r="S756" s="195"/>
      <c r="T756" s="195"/>
      <c r="U756" s="195"/>
      <c r="V756" s="197"/>
      <c r="W756" s="185"/>
      <c r="X756" s="141" t="s">
        <v>2</v>
      </c>
      <c r="Z756" s="187"/>
      <c r="AA756" s="187"/>
    </row>
    <row r="757" spans="1:27" s="186" customFormat="1" ht="15" customHeight="1">
      <c r="A757" s="215"/>
      <c r="B757" s="213"/>
      <c r="C757" s="133"/>
      <c r="D757" s="195"/>
      <c r="E757" s="195"/>
      <c r="F757" s="195"/>
      <c r="G757" s="195"/>
      <c r="H757" s="195"/>
      <c r="I757" s="195"/>
      <c r="J757" s="196"/>
      <c r="K757" s="196"/>
      <c r="L757" s="144"/>
      <c r="M757" s="195"/>
      <c r="N757" s="195"/>
      <c r="O757" s="195"/>
      <c r="P757" s="195"/>
      <c r="Q757" s="195"/>
      <c r="R757" s="195"/>
      <c r="S757" s="195"/>
      <c r="T757" s="195"/>
      <c r="U757" s="195"/>
      <c r="V757" s="197"/>
      <c r="W757" s="185"/>
      <c r="X757" s="141"/>
      <c r="Z757" s="187"/>
      <c r="AA757" s="187"/>
    </row>
    <row r="758" spans="1:27" s="186" customFormat="1" ht="15" customHeight="1" thickBot="1">
      <c r="A758" s="215"/>
      <c r="B758" s="509"/>
      <c r="C758" s="509"/>
      <c r="D758" s="512"/>
      <c r="E758" s="512"/>
      <c r="F758" s="512"/>
      <c r="G758" s="512"/>
      <c r="H758" s="512"/>
      <c r="I758" s="512"/>
      <c r="J758" s="512"/>
      <c r="K758" s="512"/>
      <c r="L758" s="512"/>
      <c r="M758" s="512"/>
      <c r="N758" s="512"/>
      <c r="O758" s="512"/>
      <c r="P758" s="512"/>
      <c r="Q758" s="512"/>
      <c r="R758" s="512"/>
      <c r="S758" s="512"/>
      <c r="T758" s="512"/>
      <c r="U758" s="512"/>
      <c r="V758" s="512"/>
      <c r="W758" s="512"/>
      <c r="X758" s="513"/>
      <c r="Z758" s="187"/>
      <c r="AA758" s="187"/>
    </row>
    <row r="759" spans="1:27" ht="15" customHeight="1" thickBot="1">
      <c r="A759" s="215"/>
      <c r="B759" s="272" t="str">
        <f>IF(X760="","TIJOLO / COMPOSIÇÃO",X760)</f>
        <v>TIJOLO / COMPOSIÇÃO</v>
      </c>
      <c r="C759" s="273" t="s">
        <v>101</v>
      </c>
      <c r="D759" s="274" t="s">
        <v>102</v>
      </c>
      <c r="E759" s="274" t="s">
        <v>42</v>
      </c>
      <c r="F759" s="274" t="s">
        <v>42</v>
      </c>
      <c r="G759" s="274" t="s">
        <v>43</v>
      </c>
      <c r="H759" s="274" t="s">
        <v>44</v>
      </c>
      <c r="I759" s="274" t="s">
        <v>47</v>
      </c>
      <c r="J759" s="274" t="s">
        <v>103</v>
      </c>
      <c r="K759" s="274" t="s">
        <v>37</v>
      </c>
      <c r="L759" s="274" t="s">
        <v>39</v>
      </c>
      <c r="M759" s="274" t="s">
        <v>45</v>
      </c>
      <c r="N759" s="274" t="s">
        <v>46</v>
      </c>
      <c r="O759" s="274" t="s">
        <v>672</v>
      </c>
      <c r="P759" s="274" t="s">
        <v>51</v>
      </c>
      <c r="Q759" s="274" t="s">
        <v>52</v>
      </c>
      <c r="R759" s="274"/>
      <c r="S759" s="274"/>
      <c r="T759" s="274" t="s">
        <v>673</v>
      </c>
      <c r="U759" s="274" t="s">
        <v>677</v>
      </c>
      <c r="V759" s="275" t="s">
        <v>27</v>
      </c>
      <c r="W759" s="276"/>
      <c r="X759" s="277"/>
    </row>
    <row r="760" spans="1:27" ht="15" customHeight="1" thickBot="1">
      <c r="A760" s="244"/>
      <c r="B760" s="246" t="s">
        <v>674</v>
      </c>
      <c r="C760" s="245">
        <f>SUMIF(Densidades!A:A,'Memória TOTAL'!X760,Densidades!B:B)</f>
        <v>0</v>
      </c>
      <c r="D760" s="134">
        <f>SUMIF(Densidades!A:A,'Memória TOTAL'!X760,Densidades!C:C)</f>
        <v>0</v>
      </c>
      <c r="E760" s="135">
        <f>IF(AND(E766=1,E767=2),SUMIF(Formatos!A:A,'Memória TOTAL'!X761,Formatos!D:D),SUMIF(Formatos!A:A,'Memória TOTAL'!X761,Formatos!E:E))</f>
        <v>0</v>
      </c>
      <c r="F760" s="135">
        <f>IF(AND(E766=1,E767=2),SUMIF(Formatos!A:A,'Memória TOTAL'!X761,Formatos!R:R),SUMIF(Formatos!A:A,'Memória TOTAL'!X761,Formatos!F:F))</f>
        <v>0</v>
      </c>
      <c r="G760" s="135">
        <f>SUMIF(Formatos!A:A,'Memória TOTAL'!X761,Formatos!C:C)</f>
        <v>0</v>
      </c>
      <c r="H760" s="135">
        <f>IF(AND(E766=1,E767=2),SUMIF(Formatos!A:A,'Memória TOTAL'!X761,Formatos!E:E),SUMIF(Formatos!A:A,'Memória TOTAL'!X761,Formatos!D:D))</f>
        <v>0</v>
      </c>
      <c r="I760" s="135">
        <f>SUMIF(Densidades!A:A,'Memória TOTAL'!X760,Densidades!H:H)</f>
        <v>0</v>
      </c>
      <c r="J760" s="136">
        <f>SUMIF(Formatos!A:A,'Memória TOTAL'!X761,Formatos!G:G)</f>
        <v>0</v>
      </c>
      <c r="K760" s="137">
        <f>SUMIF(Densidades!A:A,'Memória TOTAL'!X760,Densidades!I:I)</f>
        <v>0</v>
      </c>
      <c r="L760" s="253">
        <v>0</v>
      </c>
      <c r="M760" s="256"/>
      <c r="N760" s="256"/>
      <c r="O760" s="257"/>
      <c r="P760" s="255">
        <f>O760*2</f>
        <v>0</v>
      </c>
      <c r="Q760" s="139">
        <f>P760-(2*M760)</f>
        <v>0</v>
      </c>
      <c r="R760" s="139"/>
      <c r="S760" s="260"/>
      <c r="T760" s="261">
        <f>IF(AND(B762=0,B764=0),,IF(AND(B764=0,B762&lt;&gt;0),1,IF(OR(B764-B762&gt;=0,B764=0),(B764-B762)+1,"ERRO")))</f>
        <v>0</v>
      </c>
      <c r="U760" s="257"/>
      <c r="V760" s="256" t="str">
        <f>IF(M760="","",IF(AND(OR(M760=E760,M760=G760,M760=H760),H760=H764),ROUND(P770,0),"ESP. ERRADA"))</f>
        <v/>
      </c>
      <c r="W760" s="262" t="str">
        <f>IFERROR(IF(C760=0,"",ROUNDUP(SUM(V760)*(1+L760),0))*T760*U760,"")</f>
        <v/>
      </c>
      <c r="X760" s="263"/>
    </row>
    <row r="761" spans="1:27" s="186" customFormat="1" ht="15" customHeight="1" thickBot="1">
      <c r="A761" s="264"/>
      <c r="B761" s="249" t="s">
        <v>112</v>
      </c>
      <c r="C761" s="236"/>
      <c r="D761" s="195"/>
      <c r="E761" s="195"/>
      <c r="F761" s="195"/>
      <c r="G761" s="195"/>
      <c r="H761" s="195"/>
      <c r="I761" s="195"/>
      <c r="J761" s="196"/>
      <c r="K761" s="196"/>
      <c r="L761" s="144"/>
      <c r="M761" s="195"/>
      <c r="N761" s="195"/>
      <c r="O761" s="195"/>
      <c r="P761" s="195"/>
      <c r="Q761" s="195"/>
      <c r="R761" s="195"/>
      <c r="S761" s="195"/>
      <c r="T761" s="195"/>
      <c r="U761" s="195"/>
      <c r="V761" s="197"/>
      <c r="W761" s="185"/>
      <c r="X761" s="141" t="str">
        <f>IF(B766="","",B766)</f>
        <v/>
      </c>
      <c r="Z761" s="187"/>
      <c r="AA761" s="187"/>
    </row>
    <row r="762" spans="1:27" s="186" customFormat="1" ht="15" customHeight="1" thickBot="1">
      <c r="A762" s="264"/>
      <c r="B762" s="265"/>
      <c r="C762" s="236"/>
      <c r="D762" s="195"/>
      <c r="E762" s="195"/>
      <c r="F762" s="195"/>
      <c r="G762" s="195"/>
      <c r="H762" s="195"/>
      <c r="I762" s="195"/>
      <c r="J762" s="196"/>
      <c r="K762" s="196"/>
      <c r="L762" s="144"/>
      <c r="M762" s="195"/>
      <c r="N762" s="195"/>
      <c r="O762" s="195"/>
      <c r="P762" s="195"/>
      <c r="Q762" s="195"/>
      <c r="R762" s="195"/>
      <c r="S762" s="195"/>
      <c r="T762" s="195"/>
      <c r="U762" s="195"/>
      <c r="V762" s="197"/>
      <c r="W762" s="185"/>
      <c r="X762" s="141" t="s">
        <v>524</v>
      </c>
      <c r="Z762" s="187"/>
      <c r="AA762" s="187"/>
    </row>
    <row r="763" spans="1:27" s="186" customFormat="1" ht="15" customHeight="1" thickBot="1">
      <c r="A763" s="264"/>
      <c r="B763" s="249" t="s">
        <v>22</v>
      </c>
      <c r="C763" s="236" t="str">
        <f t="shared" ref="C763:L763" si="113">C759</f>
        <v>Dens.</v>
      </c>
      <c r="D763" s="195" t="str">
        <f t="shared" si="113"/>
        <v>Emb.</v>
      </c>
      <c r="E763" s="238" t="str">
        <f t="shared" si="113"/>
        <v>Esp. Tij.</v>
      </c>
      <c r="F763" s="238" t="str">
        <f t="shared" si="113"/>
        <v>Esp. Tij.</v>
      </c>
      <c r="G763" s="238" t="str">
        <f t="shared" si="113"/>
        <v>Comp. Tij.</v>
      </c>
      <c r="H763" s="238" t="str">
        <f t="shared" si="113"/>
        <v>Larg. Tij.</v>
      </c>
      <c r="I763" s="238" t="str">
        <f t="shared" si="113"/>
        <v>Tipo Fator</v>
      </c>
      <c r="J763" s="238" t="str">
        <f t="shared" si="113"/>
        <v>Vol.</v>
      </c>
      <c r="K763" s="238" t="str">
        <f t="shared" si="113"/>
        <v>Class.</v>
      </c>
      <c r="L763" s="195" t="str">
        <f t="shared" si="113"/>
        <v>Coefic. (%)</v>
      </c>
      <c r="M763" s="195"/>
      <c r="N763" s="195"/>
      <c r="O763" s="195"/>
      <c r="P763" s="195"/>
      <c r="Q763" s="195"/>
      <c r="R763" s="195"/>
      <c r="S763" s="195"/>
      <c r="T763" s="195"/>
      <c r="U763" s="195"/>
      <c r="V763" s="242"/>
      <c r="W763" s="185"/>
      <c r="X763" s="141"/>
      <c r="Z763" s="187"/>
      <c r="AA763" s="187"/>
    </row>
    <row r="764" spans="1:27" s="186" customFormat="1" ht="15" customHeight="1" thickBot="1">
      <c r="A764" s="264"/>
      <c r="B764" s="265"/>
      <c r="C764" s="245">
        <f>SUMIF(Densidades!A:A,'Memória TOTAL'!X764,Densidades!B:B)</f>
        <v>0</v>
      </c>
      <c r="D764" s="134">
        <f>SUMIF(Densidades!A:A,'Memória TOTAL'!X764,Densidades!C:C)</f>
        <v>620</v>
      </c>
      <c r="E764" s="135">
        <f>SUMIF(Formatos!A:A,'Memória TOTAL'!X765,Formatos!E:E)</f>
        <v>0</v>
      </c>
      <c r="F764" s="135">
        <f>SUMIF(Formatos!A:A,'Memória TOTAL'!X765,Formatos!F:F)</f>
        <v>0</v>
      </c>
      <c r="G764" s="135">
        <f>SUMIF(Formatos!A:A,'Memória TOTAL'!X765,Formatos!C:C)</f>
        <v>0</v>
      </c>
      <c r="H764" s="135">
        <f>SUMIF(Formatos!A:A,'Memória TOTAL'!X765,Formatos!D:D)</f>
        <v>0</v>
      </c>
      <c r="I764" s="135">
        <f>SUMIF(Densidades!A:A,'Memória TOTAL'!X764,Densidades!H:H)</f>
        <v>0</v>
      </c>
      <c r="J764" s="136">
        <f>SUMIF(Formatos!A:A,'Memória TOTAL'!X765,Formatos!G:G)</f>
        <v>0</v>
      </c>
      <c r="K764" s="222">
        <f>SUMIF(Densidades!A:A,'Memória TOTAL'!X764,Densidades!I:I)</f>
        <v>177</v>
      </c>
      <c r="L764" s="223">
        <v>0</v>
      </c>
      <c r="M764" s="195"/>
      <c r="N764" s="195"/>
      <c r="O764" s="195"/>
      <c r="P764" s="195"/>
      <c r="Q764" s="195"/>
      <c r="R764" s="195"/>
      <c r="S764" s="195"/>
      <c r="T764" s="232"/>
      <c r="U764" s="235"/>
      <c r="V764" s="256" t="str">
        <f>IF(M760="","",IF(AND(OR(M760=E764,M760=G764,M760=H764),H760=H764),ROUND(Q770,0),"ESP. ERRADA"))</f>
        <v/>
      </c>
      <c r="W764" s="267" t="str">
        <f>IFERROR(IF(C764=0,"",ROUNDUP(SUM(V764)*(1+L764),0))*T760*U760,"")</f>
        <v/>
      </c>
      <c r="X764" s="141" t="str">
        <f>IF(X760="","",X760)</f>
        <v/>
      </c>
      <c r="Z764" s="187"/>
      <c r="AA764" s="187"/>
    </row>
    <row r="765" spans="1:27" s="186" customFormat="1" ht="15" customHeight="1" thickBot="1">
      <c r="A765" s="264"/>
      <c r="B765" s="247" t="s">
        <v>675</v>
      </c>
      <c r="C765" s="236"/>
      <c r="D765" s="195"/>
      <c r="E765" s="195"/>
      <c r="F765" s="195"/>
      <c r="G765" s="195"/>
      <c r="H765" s="195"/>
      <c r="I765" s="195"/>
      <c r="J765" s="196"/>
      <c r="K765" s="196"/>
      <c r="L765" s="144"/>
      <c r="M765" s="195"/>
      <c r="N765" s="195"/>
      <c r="O765" s="195"/>
      <c r="P765" s="195"/>
      <c r="Q765" s="195"/>
      <c r="R765" s="195"/>
      <c r="S765" s="195"/>
      <c r="T765" s="195"/>
      <c r="U765" s="195"/>
      <c r="V765" s="197"/>
      <c r="W765" s="185"/>
      <c r="X765" s="141" t="str">
        <f>IF(B767="","",B767)</f>
        <v/>
      </c>
      <c r="Z765" s="187"/>
      <c r="AA765" s="187"/>
    </row>
    <row r="766" spans="1:27" s="186" customFormat="1" ht="15" customHeight="1" thickBot="1">
      <c r="A766" s="264"/>
      <c r="B766" s="263"/>
      <c r="C766" s="243" t="s">
        <v>54</v>
      </c>
      <c r="D766" s="239"/>
      <c r="E766" s="195">
        <f>SUMIF(Formatos!A:A,'Memória TOTAL'!X761,Formatos!S:S)</f>
        <v>0</v>
      </c>
      <c r="F766" s="238"/>
      <c r="G766" s="238"/>
      <c r="H766" s="148" t="s">
        <v>54</v>
      </c>
      <c r="I766" s="148" t="s">
        <v>55</v>
      </c>
      <c r="J766" s="196"/>
      <c r="K766" s="196"/>
      <c r="L766" s="144"/>
      <c r="M766" s="195"/>
      <c r="N766" s="195" t="s">
        <v>22</v>
      </c>
      <c r="O766" s="149" t="s">
        <v>48</v>
      </c>
      <c r="P766" s="149" t="s">
        <v>49</v>
      </c>
      <c r="Q766" s="150" t="s">
        <v>50</v>
      </c>
      <c r="R766" s="149" t="s">
        <v>54</v>
      </c>
      <c r="S766" s="149" t="s">
        <v>55</v>
      </c>
      <c r="T766" s="195"/>
      <c r="U766" s="195"/>
      <c r="V766" s="197"/>
      <c r="W766" s="185"/>
      <c r="X766" s="141" t="s">
        <v>524</v>
      </c>
      <c r="Z766" s="187"/>
      <c r="AA766" s="187"/>
    </row>
    <row r="767" spans="1:27" s="186" customFormat="1" ht="15" customHeight="1" thickBot="1">
      <c r="A767" s="264"/>
      <c r="B767" s="263"/>
      <c r="C767" s="243" t="s">
        <v>55</v>
      </c>
      <c r="D767" s="239"/>
      <c r="E767" s="195">
        <f>SUMIF(Formatos!A:A,'Memória TOTAL'!X765,Formatos!S:S)</f>
        <v>0</v>
      </c>
      <c r="F767" s="195"/>
      <c r="G767" s="195"/>
      <c r="H767" s="240" t="e">
        <f>(1/(-(N767+N760)*(Q767+N760)+(O767+N760)*(P767+N760)))*3.1416*(-P760*(Q767+N760)+Q760*(P767+N760))</f>
        <v>#DIV/0!</v>
      </c>
      <c r="I767" s="240" t="e">
        <f>((P760*PI())-(H767*(N767+N760)))/(P767+N760)</f>
        <v>#DIV/0!</v>
      </c>
      <c r="J767" s="196"/>
      <c r="K767" s="196"/>
      <c r="L767" s="144"/>
      <c r="M767" s="195"/>
      <c r="N767" s="195">
        <f>E760</f>
        <v>0</v>
      </c>
      <c r="O767" s="151">
        <f>F760</f>
        <v>0</v>
      </c>
      <c r="P767" s="151">
        <f>E764</f>
        <v>0</v>
      </c>
      <c r="Q767" s="157">
        <f>F764</f>
        <v>0</v>
      </c>
      <c r="R767" s="151" t="e">
        <f>IF(ROUND(H767+0.4,0)&gt;=0,ROUND(H767+0.4,0),"ERRO")</f>
        <v>#DIV/0!</v>
      </c>
      <c r="S767" s="151" t="e">
        <f>IF(ROUND(I767+0.4,0)&gt;=0,ROUND(I767+0.4,0),"ERRO")</f>
        <v>#DIV/0!</v>
      </c>
      <c r="T767" s="195"/>
      <c r="U767" s="195"/>
      <c r="V767" s="197"/>
      <c r="W767" s="231"/>
      <c r="X767" s="141"/>
      <c r="Z767" s="187"/>
      <c r="AA767" s="187"/>
    </row>
    <row r="768" spans="1:27" s="155" customFormat="1" ht="15" customHeight="1" thickBot="1">
      <c r="A768" s="248"/>
      <c r="B768" s="247" t="s">
        <v>676</v>
      </c>
      <c r="C768" s="236"/>
      <c r="D768" s="195"/>
      <c r="E768" s="195"/>
      <c r="F768" s="195"/>
      <c r="G768" s="195"/>
      <c r="H768" s="195"/>
      <c r="I768" s="195"/>
      <c r="J768" s="196"/>
      <c r="K768" s="196"/>
      <c r="L768" s="195"/>
      <c r="M768" s="195"/>
      <c r="N768" s="195"/>
      <c r="O768" s="241"/>
      <c r="P768" s="195"/>
      <c r="Q768" s="195"/>
      <c r="R768" s="195"/>
      <c r="S768" s="195"/>
      <c r="T768" s="151"/>
      <c r="U768" s="151"/>
      <c r="V768" s="152"/>
      <c r="W768" s="153"/>
      <c r="X768" s="154"/>
      <c r="Z768" s="156"/>
      <c r="AA768" s="156"/>
    </row>
    <row r="769" spans="1:27" s="155" customFormat="1" ht="15" customHeight="1" thickBot="1">
      <c r="A769" s="248"/>
      <c r="B769" s="250"/>
      <c r="C769" s="236"/>
      <c r="D769" s="195"/>
      <c r="E769" s="195"/>
      <c r="F769" s="195"/>
      <c r="G769" s="195"/>
      <c r="H769" s="195"/>
      <c r="I769" s="195"/>
      <c r="J769" s="196"/>
      <c r="K769" s="196"/>
      <c r="L769" s="195"/>
      <c r="M769" s="195"/>
      <c r="N769" s="235"/>
      <c r="O769" s="611" t="s">
        <v>53</v>
      </c>
      <c r="P769" s="236" t="s">
        <v>54</v>
      </c>
      <c r="Q769" s="195" t="s">
        <v>55</v>
      </c>
      <c r="R769" s="195"/>
      <c r="S769" s="195"/>
      <c r="T769" s="151"/>
      <c r="U769" s="151"/>
      <c r="V769" s="152"/>
      <c r="W769" s="153"/>
      <c r="X769" s="154"/>
      <c r="Z769" s="156"/>
      <c r="AA769" s="156"/>
    </row>
    <row r="770" spans="1:27" s="155" customFormat="1" ht="15" customHeight="1" thickBot="1">
      <c r="A770" s="248"/>
      <c r="B770" s="251" t="str">
        <f>IF(AND(B764&lt;&gt;B762,B764&lt;&gt;0),"FIADAS "&amp;B762&amp;" a "&amp;B764,"FIADA "&amp;B762)</f>
        <v xml:space="preserve">FIADA </v>
      </c>
      <c r="C770" s="268"/>
      <c r="D770" s="201"/>
      <c r="E770" s="201"/>
      <c r="F770" s="201"/>
      <c r="G770" s="201"/>
      <c r="H770" s="201"/>
      <c r="I770" s="201"/>
      <c r="J770" s="234"/>
      <c r="K770" s="234"/>
      <c r="L770" s="162"/>
      <c r="M770" s="201"/>
      <c r="N770" s="164"/>
      <c r="O770" s="259">
        <v>360</v>
      </c>
      <c r="P770" s="258" t="e">
        <f>IF(H767/360*O770-ROUNDDOWN(H767/360*O770,0)&gt;I767/360*O770-ROUNDDOWN(I767/360*O770,0),ROUNDUP(H767/360*O770,0),ROUNDUP(SUM(H767/360*O770,I767/360*O770),0)-ROUNDUP(I767/360*O770,0))</f>
        <v>#DIV/0!</v>
      </c>
      <c r="Q770" s="252" t="e">
        <f>IF(I767/360*O770-ROUNDDOWN(I767/360*O770,0)&gt;H767/360*O770-ROUNDDOWN(H767/360*O770,0),ROUNDUP(I767/360*O770,0),ROUNDUP(SUM(H767/360*O770,I767/360*O770),0)-ROUNDUP(H767/360*O770,0))</f>
        <v>#DIV/0!</v>
      </c>
      <c r="R770" s="163"/>
      <c r="S770" s="163"/>
      <c r="T770" s="163"/>
      <c r="U770" s="163"/>
      <c r="V770" s="164"/>
      <c r="W770" s="165"/>
      <c r="X770" s="166"/>
      <c r="Z770" s="156"/>
      <c r="AA770" s="156"/>
    </row>
    <row r="771" spans="1:27" s="186" customFormat="1" ht="15" customHeight="1">
      <c r="A771" s="215"/>
      <c r="B771" s="210"/>
      <c r="C771" s="298"/>
      <c r="D771" s="195"/>
      <c r="E771" s="135"/>
      <c r="F771" s="135"/>
      <c r="G771" s="135"/>
      <c r="H771" s="135"/>
      <c r="I771" s="232"/>
      <c r="J771" s="232"/>
      <c r="K771" s="232"/>
      <c r="L771" s="195"/>
      <c r="M771" s="195"/>
      <c r="N771" s="195"/>
      <c r="O771" s="144"/>
      <c r="P771" s="195"/>
      <c r="Q771" s="195"/>
      <c r="R771" s="195"/>
      <c r="S771" s="195"/>
      <c r="T771" s="195"/>
      <c r="U771" s="195"/>
      <c r="V771" s="197"/>
      <c r="W771" s="185"/>
      <c r="X771" s="141"/>
      <c r="Z771" s="187"/>
      <c r="AA771" s="187"/>
    </row>
    <row r="772" spans="1:27" s="186" customFormat="1" ht="15" customHeight="1">
      <c r="A772" s="215"/>
      <c r="B772" s="210"/>
      <c r="C772" s="298"/>
      <c r="D772" s="195"/>
      <c r="E772" s="135"/>
      <c r="F772" s="135"/>
      <c r="G772" s="135"/>
      <c r="H772" s="135"/>
      <c r="I772" s="232"/>
      <c r="J772" s="232"/>
      <c r="K772" s="232"/>
      <c r="L772" s="195"/>
      <c r="M772" s="195"/>
      <c r="N772" s="195"/>
      <c r="O772" s="144"/>
      <c r="P772" s="195"/>
      <c r="Q772" s="195"/>
      <c r="R772" s="195"/>
      <c r="S772" s="195"/>
      <c r="T772" s="195"/>
      <c r="U772" s="195"/>
      <c r="V772" s="197"/>
      <c r="W772" s="185"/>
      <c r="X772" s="141"/>
      <c r="Z772" s="187"/>
      <c r="AA772" s="187"/>
    </row>
    <row r="773" spans="1:27" s="186" customFormat="1" ht="15" customHeight="1" thickBot="1">
      <c r="A773" s="215"/>
      <c r="B773" s="279" t="s">
        <v>1010</v>
      </c>
      <c r="C773" s="280"/>
      <c r="D773" s="281"/>
      <c r="E773" s="281"/>
      <c r="F773" s="281"/>
      <c r="G773" s="281"/>
      <c r="H773" s="281"/>
      <c r="I773" s="281"/>
      <c r="J773" s="282"/>
      <c r="K773" s="282"/>
      <c r="L773" s="283"/>
      <c r="M773" s="281"/>
      <c r="N773" s="281"/>
      <c r="O773" s="281"/>
      <c r="P773" s="281"/>
      <c r="Q773" s="281"/>
      <c r="R773" s="281"/>
      <c r="S773" s="284"/>
      <c r="T773" s="281"/>
      <c r="U773" s="281" t="s">
        <v>678</v>
      </c>
      <c r="V773" s="285" t="s">
        <v>27</v>
      </c>
      <c r="W773" s="286"/>
      <c r="X773" s="287"/>
      <c r="Z773" s="187"/>
      <c r="AA773" s="187"/>
    </row>
    <row r="774" spans="1:27" s="186" customFormat="1" ht="15" customHeight="1" thickBot="1">
      <c r="A774" s="215"/>
      <c r="B774" s="210"/>
      <c r="C774" s="133">
        <f>SUMIF(Densidades!A:A,'Memória TOTAL'!X774,Densidades!B:B)</f>
        <v>0</v>
      </c>
      <c r="D774" s="134">
        <f>SUMIF(Densidades!A:A,'Memória TOTAL'!X774,Densidades!C:C)</f>
        <v>0</v>
      </c>
      <c r="E774" s="134" t="str">
        <f>IF(I774=15,"FIRECLAY MORTAR",IF(I774=16,"ALUMINA MORTAR",IF(I774=17,"BASIC MORTAR",IF(I774=18,"MORTAR","-"))))</f>
        <v>-</v>
      </c>
      <c r="F774" s="134" t="str">
        <f>IF(I774=15,"FIRECLAY MORTAR",IF(I774=16,"ALUMINA MORTAR",IF(I774=17,"BASIC MORTAR",IF(I774=18,"MORTAR","-"))))</f>
        <v>-</v>
      </c>
      <c r="G774" s="134" t="str">
        <f>IF(I774=15,"FIRECLAY MORTAR",IF(I774=16,"ALUMINA MORTAR",IF(I774=17,"BASIC MORTAR",IF(I774=18,"MORTAR","-"))))</f>
        <v>-</v>
      </c>
      <c r="H774" s="134" t="str">
        <f>IF(I774=15,"FIRECLAY MORTAR",IF(I774=16,"ALUMINA MORTAR",IF(I774=17,"BASIC MORTAR",IF(I774=18,"MORTAR","-"))))</f>
        <v>-</v>
      </c>
      <c r="I774" s="134">
        <f>SUMIF(Densidades!A:A,'Memória TOTAL'!X774,Densidades!G:G)</f>
        <v>0</v>
      </c>
      <c r="J774" s="136">
        <f>SUMIF(Formatos!A:A,'Memória TOTAL'!X775,Formatos!G:G)</f>
        <v>0</v>
      </c>
      <c r="K774" s="137">
        <f>SUMIF(Densidades!A:A,'Memória TOTAL'!X774,Densidades!I:I)</f>
        <v>0</v>
      </c>
      <c r="L774" s="188">
        <v>0</v>
      </c>
      <c r="M774" s="189"/>
      <c r="N774" s="189"/>
      <c r="O774" s="189"/>
      <c r="P774" s="189"/>
      <c r="Q774" s="189"/>
      <c r="R774" s="189"/>
      <c r="S774" s="189"/>
      <c r="T774" s="190"/>
      <c r="U774" s="290"/>
      <c r="V774" s="192" t="e">
        <f>(W760*J760*C774+W764*J764*C774)*U774</f>
        <v>#VALUE!</v>
      </c>
      <c r="W774" s="193" t="str">
        <f>IF(C774=0,"",ROUNDUP(SUM(V774:V775)*(1+L774)/D774,2)*D774)</f>
        <v/>
      </c>
      <c r="X774" s="263"/>
      <c r="Z774" s="187"/>
      <c r="AA774" s="187"/>
    </row>
    <row r="775" spans="1:27" s="186" customFormat="1" ht="15" customHeight="1">
      <c r="A775" s="215"/>
      <c r="B775" s="210"/>
      <c r="C775" s="133"/>
      <c r="D775" s="195"/>
      <c r="E775" s="195"/>
      <c r="F775" s="195"/>
      <c r="G775" s="195"/>
      <c r="H775" s="195"/>
      <c r="I775" s="195"/>
      <c r="J775" s="196"/>
      <c r="K775" s="196"/>
      <c r="L775" s="144"/>
      <c r="M775" s="195"/>
      <c r="N775" s="195"/>
      <c r="O775" s="195"/>
      <c r="P775" s="195"/>
      <c r="Q775" s="195"/>
      <c r="R775" s="195"/>
      <c r="S775" s="195"/>
      <c r="T775" s="195"/>
      <c r="U775" s="195"/>
      <c r="V775" s="197"/>
      <c r="W775" s="185"/>
      <c r="X775" s="141" t="str">
        <f>IF(AND(H774="-",G774="-",F774="-"),E774,IF(AND(H774="-",G774="-",E774="-"),F774,IF(AND(H774="-",F774="-",E774="-"),G774,H774)))</f>
        <v>-</v>
      </c>
      <c r="Z775" s="187"/>
      <c r="AA775" s="187"/>
    </row>
    <row r="776" spans="1:27" s="186" customFormat="1" ht="15" customHeight="1">
      <c r="A776" s="215"/>
      <c r="B776" s="213"/>
      <c r="C776" s="133"/>
      <c r="D776" s="195"/>
      <c r="E776" s="195"/>
      <c r="F776" s="195"/>
      <c r="G776" s="195"/>
      <c r="H776" s="195"/>
      <c r="I776" s="195"/>
      <c r="J776" s="196"/>
      <c r="K776" s="196"/>
      <c r="L776" s="144"/>
      <c r="M776" s="195"/>
      <c r="N776" s="195"/>
      <c r="O776" s="195"/>
      <c r="P776" s="195"/>
      <c r="Q776" s="195"/>
      <c r="R776" s="195"/>
      <c r="S776" s="195"/>
      <c r="T776" s="195"/>
      <c r="U776" s="195"/>
      <c r="V776" s="197"/>
      <c r="W776" s="185"/>
      <c r="X776" s="141" t="s">
        <v>2</v>
      </c>
      <c r="Z776" s="187"/>
      <c r="AA776" s="187"/>
    </row>
    <row r="777" spans="1:27" ht="15" customHeight="1">
      <c r="A777" s="215"/>
      <c r="B777" s="131"/>
      <c r="C777" s="169"/>
      <c r="D777" s="170"/>
      <c r="E777" s="170"/>
      <c r="F777" s="170"/>
      <c r="G777" s="170"/>
      <c r="H777" s="170"/>
      <c r="I777" s="170"/>
      <c r="J777" s="171"/>
      <c r="K777" s="171"/>
      <c r="L777" s="172"/>
      <c r="M777" s="170"/>
      <c r="N777" s="170"/>
      <c r="O777" s="170"/>
      <c r="P777" s="170"/>
      <c r="Q777" s="170"/>
      <c r="R777" s="170"/>
      <c r="S777" s="170"/>
      <c r="T777" s="170"/>
      <c r="U777" s="170"/>
      <c r="V777" s="173"/>
      <c r="W777" s="174"/>
      <c r="X777" s="175"/>
    </row>
    <row r="778" spans="1:27" s="186" customFormat="1" ht="15" customHeight="1" thickBot="1">
      <c r="A778" s="215"/>
      <c r="B778" s="279" t="s">
        <v>1011</v>
      </c>
      <c r="C778" s="280"/>
      <c r="D778" s="281"/>
      <c r="E778" s="281"/>
      <c r="F778" s="281"/>
      <c r="G778" s="281"/>
      <c r="H778" s="281"/>
      <c r="I778" s="281"/>
      <c r="J778" s="282"/>
      <c r="K778" s="282"/>
      <c r="L778" s="283"/>
      <c r="M778" s="281"/>
      <c r="N778" s="281"/>
      <c r="O778" s="281"/>
      <c r="P778" s="281"/>
      <c r="Q778" s="281"/>
      <c r="R778" s="281" t="s">
        <v>636</v>
      </c>
      <c r="S778" s="284" t="s">
        <v>637</v>
      </c>
      <c r="T778" s="281" t="s">
        <v>638</v>
      </c>
      <c r="U778" s="281" t="s">
        <v>38</v>
      </c>
      <c r="V778" s="285" t="s">
        <v>27</v>
      </c>
      <c r="W778" s="286"/>
      <c r="X778" s="287"/>
      <c r="Z778" s="187"/>
      <c r="AA778" s="187"/>
    </row>
    <row r="779" spans="1:27" s="186" customFormat="1" ht="15" customHeight="1" thickBot="1">
      <c r="A779" s="215"/>
      <c r="B779" s="210"/>
      <c r="C779" s="133">
        <f>SUMIF(Densidades!A:A,'Memória TOTAL'!X779,Densidades!B:B)</f>
        <v>0</v>
      </c>
      <c r="D779" s="134">
        <f>SUMIF(Densidades!A:A,'Memória TOTAL'!X779,Densidades!C:C)</f>
        <v>0</v>
      </c>
      <c r="E779" s="134" t="str">
        <f>IF(I779=15,"FIRECLAY MORTAR",IF(I779=16,"ALUMINA MORTAR",IF(I779=17,"BASIC MORTAR",IF(I779=18,"MORTAR","-"))))</f>
        <v>-</v>
      </c>
      <c r="F779" s="134" t="str">
        <f>IF(I779=15,"FIRECLAY MORTAR",IF(I779=16,"ALUMINA MORTAR",IF(I779=17,"BASIC MORTAR",IF(I779=18,"MORTAR","-"))))</f>
        <v>-</v>
      </c>
      <c r="G779" s="134" t="str">
        <f>IF(I779=15,"FIRECLAY MORTAR",IF(I779=16,"ALUMINA MORTAR",IF(I779=17,"BASIC MORTAR",IF(I779=18,"MORTAR","-"))))</f>
        <v>-</v>
      </c>
      <c r="H779" s="134" t="str">
        <f>IF(I779=15,"FIRECLAY MORTAR",IF(I779=16,"ALUMINA MORTAR",IF(I779=17,"BASIC MORTAR",IF(I779=18,"MORTAR","-"))))</f>
        <v>-</v>
      </c>
      <c r="I779" s="134">
        <f>SUMIF(Densidades!A:A,'Memória TOTAL'!X779,Densidades!G:G)</f>
        <v>0</v>
      </c>
      <c r="J779" s="136">
        <f>SUMIF(Formatos!A:A,'Memória TOTAL'!X780,Formatos!G:G)</f>
        <v>0</v>
      </c>
      <c r="K779" s="222">
        <f>SUMIF(Densidades!A:A,'Memória TOTAL'!X779,Densidades!I:I)</f>
        <v>0</v>
      </c>
      <c r="L779" s="188">
        <v>0</v>
      </c>
      <c r="M779" s="189"/>
      <c r="N779" s="189"/>
      <c r="O779" s="189"/>
      <c r="P779" s="189"/>
      <c r="Q779" s="189"/>
      <c r="R779" s="190">
        <f>((G760*H760)+(G760*E760)+(H760*E760))/1000000</f>
        <v>0</v>
      </c>
      <c r="S779" s="259">
        <v>2</v>
      </c>
      <c r="T779" s="190">
        <f>R779*S779</f>
        <v>0</v>
      </c>
      <c r="U779" s="191">
        <f>SUM(W760:W765)</f>
        <v>0</v>
      </c>
      <c r="V779" s="192">
        <f>(T779*C779*(1+L779))*U779</f>
        <v>0</v>
      </c>
      <c r="W779" s="140" t="str">
        <f>IF(C779=0,"",ROUNDUP(SUM(V779:V780)*(1+L779)/D779,2)*D779)</f>
        <v/>
      </c>
      <c r="X779" s="263"/>
      <c r="Z779" s="187"/>
      <c r="AA779" s="187"/>
    </row>
    <row r="780" spans="1:27" s="186" customFormat="1" ht="15" customHeight="1">
      <c r="A780" s="215"/>
      <c r="B780" s="210"/>
      <c r="C780" s="133"/>
      <c r="D780" s="195"/>
      <c r="E780" s="195"/>
      <c r="F780" s="195"/>
      <c r="G780" s="195"/>
      <c r="H780" s="195"/>
      <c r="I780" s="195"/>
      <c r="J780" s="196"/>
      <c r="K780" s="196"/>
      <c r="L780" s="144"/>
      <c r="M780" s="195"/>
      <c r="N780" s="195"/>
      <c r="O780" s="195"/>
      <c r="P780" s="195"/>
      <c r="Q780" s="195"/>
      <c r="R780" s="195"/>
      <c r="S780" s="195"/>
      <c r="T780" s="195"/>
      <c r="U780" s="195"/>
      <c r="V780" s="197"/>
      <c r="W780" s="185"/>
      <c r="X780" s="141" t="str">
        <f>IF(AND(H779="-",G779="-",F779="-"),E779,IF(AND(H779="-",G779="-",E779="-"),F779,IF(AND(H779="-",F779="-",E779="-"),G779,H779)))</f>
        <v>-</v>
      </c>
      <c r="Z780" s="187"/>
      <c r="AA780" s="187"/>
    </row>
    <row r="781" spans="1:27" s="186" customFormat="1" ht="15" customHeight="1">
      <c r="A781" s="215"/>
      <c r="B781" s="213"/>
      <c r="C781" s="133"/>
      <c r="D781" s="195"/>
      <c r="E781" s="195"/>
      <c r="F781" s="195"/>
      <c r="G781" s="195"/>
      <c r="H781" s="195"/>
      <c r="I781" s="195"/>
      <c r="J781" s="196"/>
      <c r="K781" s="196"/>
      <c r="L781" s="144"/>
      <c r="M781" s="195"/>
      <c r="N781" s="195"/>
      <c r="O781" s="195"/>
      <c r="P781" s="195"/>
      <c r="Q781" s="195"/>
      <c r="R781" s="195"/>
      <c r="S781" s="195"/>
      <c r="T781" s="195"/>
      <c r="U781" s="195"/>
      <c r="V781" s="197"/>
      <c r="W781" s="185"/>
      <c r="X781" s="141" t="s">
        <v>2</v>
      </c>
      <c r="Z781" s="187"/>
      <c r="AA781" s="187"/>
    </row>
    <row r="782" spans="1:27" s="186" customFormat="1" ht="15" customHeight="1">
      <c r="A782" s="215"/>
      <c r="B782" s="213"/>
      <c r="C782" s="133"/>
      <c r="D782" s="195"/>
      <c r="E782" s="195"/>
      <c r="F782" s="195"/>
      <c r="G782" s="195"/>
      <c r="H782" s="195"/>
      <c r="I782" s="195"/>
      <c r="J782" s="196"/>
      <c r="K782" s="196"/>
      <c r="L782" s="144"/>
      <c r="M782" s="195"/>
      <c r="N782" s="195"/>
      <c r="O782" s="195"/>
      <c r="P782" s="195"/>
      <c r="Q782" s="195"/>
      <c r="R782" s="195"/>
      <c r="S782" s="195"/>
      <c r="T782" s="195"/>
      <c r="U782" s="195"/>
      <c r="V782" s="197"/>
      <c r="W782" s="185"/>
      <c r="X782" s="141"/>
      <c r="Z782" s="187"/>
      <c r="AA782" s="187"/>
    </row>
    <row r="783" spans="1:27" s="186" customFormat="1" ht="15" customHeight="1" thickBot="1">
      <c r="A783" s="215"/>
      <c r="B783" s="509"/>
      <c r="C783" s="509"/>
      <c r="D783" s="512"/>
      <c r="E783" s="512"/>
      <c r="F783" s="512"/>
      <c r="G783" s="512"/>
      <c r="H783" s="512"/>
      <c r="I783" s="512"/>
      <c r="J783" s="512"/>
      <c r="K783" s="512"/>
      <c r="L783" s="512"/>
      <c r="M783" s="512"/>
      <c r="N783" s="512"/>
      <c r="O783" s="512"/>
      <c r="P783" s="512"/>
      <c r="Q783" s="512"/>
      <c r="R783" s="512"/>
      <c r="S783" s="512"/>
      <c r="T783" s="512"/>
      <c r="U783" s="512"/>
      <c r="V783" s="512"/>
      <c r="W783" s="512"/>
      <c r="X783" s="513"/>
      <c r="Z783" s="187"/>
      <c r="AA783" s="187"/>
    </row>
    <row r="784" spans="1:27" ht="15" customHeight="1" thickBot="1">
      <c r="A784" s="215"/>
      <c r="B784" s="272" t="str">
        <f>IF(X785="","TIJOLO / COMPOSIÇÃO",X785)</f>
        <v>TIJOLO / COMPOSIÇÃO</v>
      </c>
      <c r="C784" s="273" t="s">
        <v>101</v>
      </c>
      <c r="D784" s="274" t="s">
        <v>102</v>
      </c>
      <c r="E784" s="274" t="s">
        <v>42</v>
      </c>
      <c r="F784" s="274" t="s">
        <v>42</v>
      </c>
      <c r="G784" s="274" t="s">
        <v>43</v>
      </c>
      <c r="H784" s="274" t="s">
        <v>44</v>
      </c>
      <c r="I784" s="274" t="s">
        <v>47</v>
      </c>
      <c r="J784" s="274" t="s">
        <v>103</v>
      </c>
      <c r="K784" s="274" t="s">
        <v>37</v>
      </c>
      <c r="L784" s="274" t="s">
        <v>39</v>
      </c>
      <c r="M784" s="274" t="s">
        <v>45</v>
      </c>
      <c r="N784" s="274" t="s">
        <v>46</v>
      </c>
      <c r="O784" s="274" t="s">
        <v>672</v>
      </c>
      <c r="P784" s="274" t="s">
        <v>51</v>
      </c>
      <c r="Q784" s="274" t="s">
        <v>52</v>
      </c>
      <c r="R784" s="274"/>
      <c r="S784" s="274"/>
      <c r="T784" s="274"/>
      <c r="U784" s="274" t="s">
        <v>677</v>
      </c>
      <c r="V784" s="275" t="s">
        <v>27</v>
      </c>
      <c r="W784" s="276"/>
      <c r="X784" s="277"/>
    </row>
    <row r="785" spans="1:27" ht="15" customHeight="1" thickBot="1">
      <c r="A785" s="244"/>
      <c r="B785" s="246" t="s">
        <v>674</v>
      </c>
      <c r="C785" s="245">
        <f>SUMIF(Densidades!A:A,'Memória TOTAL'!X785,Densidades!B:B)</f>
        <v>0</v>
      </c>
      <c r="D785" s="134">
        <f>SUMIF(Densidades!A:A,'Memória TOTAL'!X785,Densidades!C:C)</f>
        <v>0</v>
      </c>
      <c r="E785" s="135">
        <f>IF(AND(E791=1,E792=2),SUMIF(Formatos!A:A,'Memória TOTAL'!X786,Formatos!D:D),SUMIF(Formatos!A:A,'Memória TOTAL'!X786,Formatos!E:E))</f>
        <v>0</v>
      </c>
      <c r="F785" s="135">
        <f>IF(AND(E791=1,E792=2),SUMIF(Formatos!A:A,'Memória TOTAL'!X786,Formatos!R:R),SUMIF(Formatos!A:A,'Memória TOTAL'!X786,Formatos!F:F))</f>
        <v>0</v>
      </c>
      <c r="G785" s="135">
        <f>SUMIF(Formatos!A:A,'Memória TOTAL'!X786,Formatos!C:C)</f>
        <v>0</v>
      </c>
      <c r="H785" s="135">
        <f>IF(AND(E791=1,E792=2),SUMIF(Formatos!A:A,'Memória TOTAL'!X786,Formatos!E:E),SUMIF(Formatos!A:A,'Memória TOTAL'!X786,Formatos!D:D))</f>
        <v>0</v>
      </c>
      <c r="I785" s="135">
        <f>SUMIF(Densidades!A:A,'Memória TOTAL'!X785,Densidades!H:H)</f>
        <v>0</v>
      </c>
      <c r="J785" s="136">
        <f>SUMIF(Formatos!A:A,'Memória TOTAL'!X786,Formatos!G:G)</f>
        <v>0</v>
      </c>
      <c r="K785" s="137">
        <f>SUMIF(Densidades!A:A,'Memória TOTAL'!X785,Densidades!I:I)</f>
        <v>0</v>
      </c>
      <c r="L785" s="253">
        <v>0</v>
      </c>
      <c r="M785" s="256"/>
      <c r="N785" s="256"/>
      <c r="O785" s="257"/>
      <c r="P785" s="255">
        <f>O785*2</f>
        <v>0</v>
      </c>
      <c r="Q785" s="139">
        <f>P785-(2*M785)</f>
        <v>0</v>
      </c>
      <c r="R785" s="139"/>
      <c r="S785" s="260"/>
      <c r="T785" s="260"/>
      <c r="U785" s="257"/>
      <c r="V785" s="256" t="str">
        <f>IF(M785="","",IF(AND(OR(M785=E785,M785=G785,M785=H785),H785=H789),ROUND(SUM(P795:P845),0),"ESP. ERRADA"))</f>
        <v/>
      </c>
      <c r="W785" s="262" t="str">
        <f>IFERROR(IF(C785=0,"",ROUNDUP(SUM(V785)*(1+L785),0))*U785,"")</f>
        <v/>
      </c>
      <c r="X785" s="263"/>
    </row>
    <row r="786" spans="1:27" s="186" customFormat="1" ht="15" customHeight="1">
      <c r="A786" s="215"/>
      <c r="B786" s="490"/>
      <c r="C786" s="489"/>
      <c r="D786" s="195"/>
      <c r="E786" s="195"/>
      <c r="F786" s="195"/>
      <c r="G786" s="195"/>
      <c r="H786" s="195"/>
      <c r="I786" s="195"/>
      <c r="J786" s="196"/>
      <c r="K786" s="196"/>
      <c r="L786" s="144"/>
      <c r="M786" s="195"/>
      <c r="N786" s="195"/>
      <c r="O786" s="195"/>
      <c r="P786" s="195"/>
      <c r="Q786" s="195"/>
      <c r="R786" s="195"/>
      <c r="S786" s="195"/>
      <c r="T786" s="195"/>
      <c r="U786" s="195"/>
      <c r="V786" s="197"/>
      <c r="W786" s="185"/>
      <c r="X786" s="141" t="str">
        <f>IF(B791="","",B791)</f>
        <v/>
      </c>
      <c r="Z786" s="187"/>
      <c r="AA786" s="187"/>
    </row>
    <row r="787" spans="1:27" s="186" customFormat="1" ht="15" customHeight="1">
      <c r="A787" s="215"/>
      <c r="B787" s="491"/>
      <c r="C787" s="200"/>
      <c r="D787" s="195"/>
      <c r="E787" s="195"/>
      <c r="F787" s="195"/>
      <c r="G787" s="195"/>
      <c r="H787" s="195"/>
      <c r="I787" s="195"/>
      <c r="J787" s="196"/>
      <c r="K787" s="196"/>
      <c r="L787" s="144"/>
      <c r="M787" s="195"/>
      <c r="N787" s="195"/>
      <c r="O787" s="195"/>
      <c r="P787" s="195"/>
      <c r="Q787" s="195"/>
      <c r="R787" s="195"/>
      <c r="S787" s="195"/>
      <c r="T787" s="195"/>
      <c r="U787" s="195"/>
      <c r="V787" s="197"/>
      <c r="W787" s="185"/>
      <c r="X787" s="141" t="s">
        <v>524</v>
      </c>
      <c r="Z787" s="187"/>
      <c r="AA787" s="187"/>
    </row>
    <row r="788" spans="1:27" s="186" customFormat="1" ht="15" customHeight="1" thickBot="1">
      <c r="A788" s="215"/>
      <c r="B788" s="491"/>
      <c r="C788" s="200" t="str">
        <f t="shared" ref="C788:L788" si="114">C784</f>
        <v>Dens.</v>
      </c>
      <c r="D788" s="195" t="str">
        <f t="shared" si="114"/>
        <v>Emb.</v>
      </c>
      <c r="E788" s="238" t="str">
        <f t="shared" si="114"/>
        <v>Esp. Tij.</v>
      </c>
      <c r="F788" s="238" t="str">
        <f t="shared" si="114"/>
        <v>Esp. Tij.</v>
      </c>
      <c r="G788" s="238" t="str">
        <f t="shared" si="114"/>
        <v>Comp. Tij.</v>
      </c>
      <c r="H788" s="238" t="str">
        <f t="shared" si="114"/>
        <v>Larg. Tij.</v>
      </c>
      <c r="I788" s="238" t="str">
        <f t="shared" si="114"/>
        <v>Tipo Fator</v>
      </c>
      <c r="J788" s="238" t="str">
        <f t="shared" si="114"/>
        <v>Vol.</v>
      </c>
      <c r="K788" s="238" t="str">
        <f t="shared" si="114"/>
        <v>Class.</v>
      </c>
      <c r="L788" s="195" t="str">
        <f t="shared" si="114"/>
        <v>Coefic. (%)</v>
      </c>
      <c r="M788" s="195"/>
      <c r="N788" s="195"/>
      <c r="O788" s="195"/>
      <c r="P788" s="195"/>
      <c r="Q788" s="195"/>
      <c r="R788" s="195"/>
      <c r="S788" s="195"/>
      <c r="T788" s="195"/>
      <c r="U788" s="195"/>
      <c r="V788" s="242"/>
      <c r="W788" s="185"/>
      <c r="X788" s="141"/>
      <c r="Z788" s="187"/>
      <c r="AA788" s="187"/>
    </row>
    <row r="789" spans="1:27" s="186" customFormat="1" ht="15" customHeight="1" thickBot="1">
      <c r="A789" s="215"/>
      <c r="B789" s="492"/>
      <c r="C789" s="133">
        <f>SUMIF(Densidades!A:A,'Memória TOTAL'!X789,Densidades!B:B)</f>
        <v>0</v>
      </c>
      <c r="D789" s="134">
        <f>SUMIF(Densidades!A:A,'Memória TOTAL'!X789,Densidades!C:C)</f>
        <v>620</v>
      </c>
      <c r="E789" s="135">
        <f>SUMIF(Formatos!A:A,'Memória TOTAL'!X790,Formatos!E:E)</f>
        <v>0</v>
      </c>
      <c r="F789" s="135">
        <f>SUMIF(Formatos!A:A,'Memória TOTAL'!X790,Formatos!F:F)</f>
        <v>0</v>
      </c>
      <c r="G789" s="135">
        <f>SUMIF(Formatos!A:A,'Memória TOTAL'!X790,Formatos!C:C)</f>
        <v>0</v>
      </c>
      <c r="H789" s="135">
        <f>SUMIF(Formatos!A:A,'Memória TOTAL'!X790,Formatos!D:D)</f>
        <v>0</v>
      </c>
      <c r="I789" s="135">
        <f>SUMIF(Densidades!A:A,'Memória TOTAL'!X789,Densidades!H:H)</f>
        <v>0</v>
      </c>
      <c r="J789" s="136">
        <f>SUMIF(Formatos!A:A,'Memória TOTAL'!X790,Formatos!G:G)</f>
        <v>0</v>
      </c>
      <c r="K789" s="222">
        <f>SUMIF(Densidades!A:A,'Memória TOTAL'!X789,Densidades!I:I)</f>
        <v>177</v>
      </c>
      <c r="L789" s="223">
        <v>0</v>
      </c>
      <c r="M789" s="195"/>
      <c r="N789" s="195"/>
      <c r="O789" s="195"/>
      <c r="P789" s="195"/>
      <c r="Q789" s="195"/>
      <c r="R789" s="195"/>
      <c r="S789" s="195"/>
      <c r="T789" s="232"/>
      <c r="U789" s="235"/>
      <c r="V789" s="256" t="str">
        <f>IF(M785="","",IF(AND(OR(M785=E789,M785=G789,M785=H789),H785=H789),ROUND(SUM(Q795:Q845),0),"ESP. ERRADA"))</f>
        <v/>
      </c>
      <c r="W789" s="267" t="str">
        <f>IFERROR(IF(C789=0,"",ROUNDUP(SUM(V789)*(1+L789),0))*U785,"")</f>
        <v/>
      </c>
      <c r="X789" s="141" t="str">
        <f>IF(X785="","",X785)</f>
        <v/>
      </c>
      <c r="Z789" s="187"/>
      <c r="AA789" s="187"/>
    </row>
    <row r="790" spans="1:27" s="186" customFormat="1" ht="15" customHeight="1" thickBot="1">
      <c r="A790" s="215"/>
      <c r="B790" s="247" t="s">
        <v>675</v>
      </c>
      <c r="C790" s="236"/>
      <c r="D790" s="195"/>
      <c r="E790" s="195"/>
      <c r="F790" s="195"/>
      <c r="G790" s="195"/>
      <c r="H790" s="195"/>
      <c r="I790" s="195"/>
      <c r="J790" s="196"/>
      <c r="K790" s="196"/>
      <c r="L790" s="144"/>
      <c r="M790" s="195"/>
      <c r="N790" s="195"/>
      <c r="O790" s="195"/>
      <c r="P790" s="195"/>
      <c r="Q790" s="195"/>
      <c r="R790" s="195"/>
      <c r="S790" s="195"/>
      <c r="T790" s="195"/>
      <c r="U790" s="195"/>
      <c r="V790" s="197"/>
      <c r="W790" s="185"/>
      <c r="X790" s="141" t="str">
        <f>IF(B792="","",B792)</f>
        <v/>
      </c>
      <c r="Z790" s="187"/>
      <c r="AA790" s="187"/>
    </row>
    <row r="791" spans="1:27" s="186" customFormat="1" ht="15" customHeight="1" thickBot="1">
      <c r="A791" s="215"/>
      <c r="B791" s="263"/>
      <c r="C791" s="243" t="s">
        <v>54</v>
      </c>
      <c r="D791" s="239"/>
      <c r="E791" s="195">
        <f>SUMIF(Formatos!A:A,'Memória TOTAL'!X786,Formatos!S:S)</f>
        <v>0</v>
      </c>
      <c r="F791" s="238"/>
      <c r="G791" s="238"/>
      <c r="H791" s="148" t="s">
        <v>54</v>
      </c>
      <c r="I791" s="148" t="s">
        <v>55</v>
      </c>
      <c r="J791" s="196"/>
      <c r="K791" s="196"/>
      <c r="L791" s="144"/>
      <c r="M791" s="195"/>
      <c r="N791" s="195" t="s">
        <v>22</v>
      </c>
      <c r="O791" s="149" t="s">
        <v>48</v>
      </c>
      <c r="P791" s="149" t="s">
        <v>49</v>
      </c>
      <c r="Q791" s="150" t="s">
        <v>50</v>
      </c>
      <c r="R791" s="149" t="s">
        <v>54</v>
      </c>
      <c r="S791" s="149" t="s">
        <v>55</v>
      </c>
      <c r="T791" s="195"/>
      <c r="U791" s="195"/>
      <c r="V791" s="197"/>
      <c r="W791" s="185"/>
      <c r="X791" s="141" t="s">
        <v>524</v>
      </c>
      <c r="Z791" s="187"/>
      <c r="AA791" s="187"/>
    </row>
    <row r="792" spans="1:27" s="186" customFormat="1" ht="15" customHeight="1" thickBot="1">
      <c r="A792" s="215"/>
      <c r="B792" s="263"/>
      <c r="C792" s="243" t="s">
        <v>55</v>
      </c>
      <c r="D792" s="239"/>
      <c r="E792" s="195">
        <f>SUMIF(Formatos!A:A,'Memória TOTAL'!X790,Formatos!S:S)</f>
        <v>0</v>
      </c>
      <c r="F792" s="195"/>
      <c r="G792" s="195"/>
      <c r="H792" s="240" t="e">
        <f>(1/(-(N792+N785)*(Q792+N785)+(O792+N785)*(P792+N785)))*3.1416*(-P785*(Q792+N785)+Q785*(P792+N785))</f>
        <v>#DIV/0!</v>
      </c>
      <c r="I792" s="240" t="e">
        <f>((P785*PI())-(H792*(N792+N785)))/(P792+N785)</f>
        <v>#DIV/0!</v>
      </c>
      <c r="J792" s="196"/>
      <c r="K792" s="196"/>
      <c r="L792" s="144"/>
      <c r="M792" s="195"/>
      <c r="N792" s="195">
        <f>E785</f>
        <v>0</v>
      </c>
      <c r="O792" s="151">
        <f>F785</f>
        <v>0</v>
      </c>
      <c r="P792" s="151">
        <f>E789</f>
        <v>0</v>
      </c>
      <c r="Q792" s="157">
        <f>F789</f>
        <v>0</v>
      </c>
      <c r="R792" s="151" t="e">
        <f>IF(ROUND(H792+0.4,0)&gt;=0,ROUND(H792+0.4,0),"ERRO")</f>
        <v>#DIV/0!</v>
      </c>
      <c r="S792" s="151" t="e">
        <f>IF(ROUND(I792+0.4,0)&gt;=0,ROUND(I792+0.4,0),"ERRO")</f>
        <v>#DIV/0!</v>
      </c>
      <c r="T792" s="195"/>
      <c r="U792" s="195"/>
      <c r="V792" s="197"/>
      <c r="W792" s="231"/>
      <c r="X792" s="141"/>
      <c r="Z792" s="187"/>
      <c r="AA792" s="187"/>
    </row>
    <row r="793" spans="1:27" s="155" customFormat="1" ht="15" customHeight="1" thickBot="1">
      <c r="A793" s="215"/>
      <c r="B793" s="247" t="s">
        <v>676</v>
      </c>
      <c r="C793" s="236"/>
      <c r="D793" s="195"/>
      <c r="E793" s="195"/>
      <c r="F793" s="195"/>
      <c r="G793" s="195"/>
      <c r="H793" s="195"/>
      <c r="I793" s="195"/>
      <c r="J793" s="195"/>
      <c r="K793" s="195"/>
      <c r="L793" s="195"/>
      <c r="M793" s="195"/>
      <c r="N793" s="195"/>
      <c r="O793" s="241"/>
      <c r="P793" s="195"/>
      <c r="Q793" s="195"/>
      <c r="R793" s="195"/>
      <c r="S793" s="195"/>
      <c r="T793" s="151"/>
      <c r="U793" s="151"/>
      <c r="V793" s="152"/>
      <c r="W793" s="153"/>
      <c r="X793" s="154"/>
      <c r="Z793" s="156"/>
      <c r="AA793" s="156"/>
    </row>
    <row r="794" spans="1:27" s="155" customFormat="1" ht="15" customHeight="1" thickBot="1">
      <c r="A794" s="215"/>
      <c r="B794" s="250"/>
      <c r="C794" s="236"/>
      <c r="D794" s="195"/>
      <c r="E794" s="195"/>
      <c r="F794" s="195"/>
      <c r="G794" s="195"/>
      <c r="H794" s="236" t="s">
        <v>54</v>
      </c>
      <c r="I794" s="195" t="s">
        <v>55</v>
      </c>
      <c r="J794" s="195"/>
      <c r="K794" s="195"/>
      <c r="L794" s="195"/>
      <c r="M794" s="195"/>
      <c r="N794" s="235"/>
      <c r="O794" s="611" t="s">
        <v>53</v>
      </c>
      <c r="P794" s="236" t="s">
        <v>54</v>
      </c>
      <c r="Q794" s="195" t="s">
        <v>55</v>
      </c>
      <c r="R794" s="195"/>
      <c r="S794" s="195"/>
      <c r="T794" s="151"/>
      <c r="U794" s="151"/>
      <c r="V794" s="152"/>
      <c r="W794" s="153"/>
      <c r="X794" s="154"/>
      <c r="Z794" s="156"/>
      <c r="AA794" s="156"/>
    </row>
    <row r="795" spans="1:27" s="155" customFormat="1" ht="15" customHeight="1">
      <c r="A795" s="215"/>
      <c r="B795" s="213" t="s">
        <v>392</v>
      </c>
      <c r="C795" s="488"/>
      <c r="D795" s="201"/>
      <c r="E795" s="201"/>
      <c r="F795" s="201"/>
      <c r="G795" s="201"/>
      <c r="H795" s="201" t="e">
        <f>H792</f>
        <v>#DIV/0!</v>
      </c>
      <c r="I795" s="268" t="e">
        <f>I792</f>
        <v>#DIV/0!</v>
      </c>
      <c r="J795" s="234"/>
      <c r="K795" s="337"/>
      <c r="L795" s="162"/>
      <c r="M795" s="201"/>
      <c r="N795" s="164"/>
      <c r="O795" s="617">
        <v>360</v>
      </c>
      <c r="P795" s="258" t="e">
        <f>IF(H795/360*O795-ROUNDDOWN(H795/360*O795,0)&gt;I795/360*O795-ROUNDDOWN(I795/360*O795,0),ROUNDUP(H795/360*O795,0),ROUNDUP(SUM(H795/360*O795,I795/360*O795),0)-ROUNDUP(I795/360*O795,0))</f>
        <v>#DIV/0!</v>
      </c>
      <c r="Q795" s="252" t="e">
        <f>IF(I795/360*O795-ROUNDDOWN(I795/360*O795,0)&gt;H795/360*O795-ROUNDDOWN(H795/360*O795,0),ROUNDUP(I795/360*O795,0),ROUNDUP(SUM(H795/360*O795,I795/360*O795),0)-ROUNDUP(H795/360*O795,0))</f>
        <v>#DIV/0!</v>
      </c>
      <c r="R795" s="163"/>
      <c r="S795" s="163"/>
      <c r="T795" s="163"/>
      <c r="U795" s="163"/>
      <c r="V795" s="164"/>
      <c r="W795" s="165"/>
      <c r="X795" s="166"/>
      <c r="Z795" s="156"/>
      <c r="AA795" s="156"/>
    </row>
    <row r="796" spans="1:27" s="155" customFormat="1" ht="15" customHeight="1">
      <c r="A796" s="215"/>
      <c r="B796" s="213" t="s">
        <v>984</v>
      </c>
      <c r="C796" s="488"/>
      <c r="D796" s="201"/>
      <c r="E796" s="201"/>
      <c r="F796" s="201"/>
      <c r="G796" s="201"/>
      <c r="H796" s="201" t="e">
        <f>H795</f>
        <v>#DIV/0!</v>
      </c>
      <c r="I796" s="268" t="e">
        <f>I795</f>
        <v>#DIV/0!</v>
      </c>
      <c r="J796" s="234"/>
      <c r="K796" s="337"/>
      <c r="L796" s="162"/>
      <c r="M796" s="201"/>
      <c r="N796" s="164"/>
      <c r="O796" s="618">
        <f>O795</f>
        <v>360</v>
      </c>
      <c r="P796" s="258" t="e">
        <f t="shared" ref="P796:P844" si="115">IF(H796/360*O796-ROUNDDOWN(H796/360*O796,0)&gt;I796/360*O796-ROUNDDOWN(I796/360*O796,0),ROUNDUP(H796/360*O796,0),ROUNDUP(SUM(H796/360*O796,I796/360*O796),0)-ROUNDUP(I796/360*O796,0))</f>
        <v>#DIV/0!</v>
      </c>
      <c r="Q796" s="252" t="e">
        <f t="shared" ref="Q796:Q844" si="116">IF(I796/360*O796-ROUNDDOWN(I796/360*O796,0)&gt;H796/360*O796-ROUNDDOWN(H796/360*O796,0),ROUNDUP(I796/360*O796,0),ROUNDUP(SUM(H796/360*O796,I796/360*O796),0)-ROUNDUP(H796/360*O796,0))</f>
        <v>#DIV/0!</v>
      </c>
      <c r="R796" s="163"/>
      <c r="S796" s="163"/>
      <c r="T796" s="163"/>
      <c r="U796" s="163"/>
      <c r="V796" s="164"/>
      <c r="W796" s="165"/>
      <c r="X796" s="166"/>
      <c r="Z796" s="156"/>
      <c r="AA796" s="156"/>
    </row>
    <row r="797" spans="1:27" s="155" customFormat="1" ht="15" customHeight="1">
      <c r="A797" s="215"/>
      <c r="B797" s="213" t="s">
        <v>393</v>
      </c>
      <c r="C797" s="488"/>
      <c r="D797" s="201"/>
      <c r="E797" s="201"/>
      <c r="F797" s="201"/>
      <c r="G797" s="201"/>
      <c r="H797" s="201" t="e">
        <f t="shared" ref="H797:I812" si="117">H796</f>
        <v>#DIV/0!</v>
      </c>
      <c r="I797" s="268" t="e">
        <f t="shared" si="117"/>
        <v>#DIV/0!</v>
      </c>
      <c r="J797" s="234"/>
      <c r="K797" s="337"/>
      <c r="L797" s="162"/>
      <c r="M797" s="201"/>
      <c r="N797" s="164"/>
      <c r="O797" s="618">
        <f t="shared" ref="O797:O843" si="118">O796</f>
        <v>360</v>
      </c>
      <c r="P797" s="258" t="e">
        <f t="shared" si="115"/>
        <v>#DIV/0!</v>
      </c>
      <c r="Q797" s="252" t="e">
        <f t="shared" si="116"/>
        <v>#DIV/0!</v>
      </c>
      <c r="R797" s="163"/>
      <c r="S797" s="163"/>
      <c r="T797" s="163"/>
      <c r="U797" s="163"/>
      <c r="V797" s="164"/>
      <c r="W797" s="165"/>
      <c r="X797" s="166"/>
      <c r="Z797" s="156"/>
      <c r="AA797" s="156"/>
    </row>
    <row r="798" spans="1:27" s="155" customFormat="1" ht="15" customHeight="1">
      <c r="A798" s="215"/>
      <c r="B798" s="213" t="s">
        <v>394</v>
      </c>
      <c r="C798" s="488"/>
      <c r="D798" s="201"/>
      <c r="E798" s="201"/>
      <c r="F798" s="201"/>
      <c r="G798" s="201"/>
      <c r="H798" s="201" t="e">
        <f t="shared" si="117"/>
        <v>#DIV/0!</v>
      </c>
      <c r="I798" s="268" t="e">
        <f t="shared" si="117"/>
        <v>#DIV/0!</v>
      </c>
      <c r="J798" s="234"/>
      <c r="K798" s="337"/>
      <c r="L798" s="162"/>
      <c r="M798" s="201"/>
      <c r="N798" s="164"/>
      <c r="O798" s="618">
        <f t="shared" si="118"/>
        <v>360</v>
      </c>
      <c r="P798" s="258" t="e">
        <f t="shared" si="115"/>
        <v>#DIV/0!</v>
      </c>
      <c r="Q798" s="252" t="e">
        <f t="shared" si="116"/>
        <v>#DIV/0!</v>
      </c>
      <c r="R798" s="163"/>
      <c r="S798" s="163"/>
      <c r="T798" s="163"/>
      <c r="U798" s="163"/>
      <c r="V798" s="164"/>
      <c r="W798" s="165"/>
      <c r="X798" s="166"/>
      <c r="Z798" s="156"/>
      <c r="AA798" s="156"/>
    </row>
    <row r="799" spans="1:27" s="155" customFormat="1" ht="15" customHeight="1">
      <c r="A799" s="215"/>
      <c r="B799" s="213" t="s">
        <v>395</v>
      </c>
      <c r="C799" s="488"/>
      <c r="D799" s="201"/>
      <c r="E799" s="201"/>
      <c r="F799" s="201"/>
      <c r="G799" s="201"/>
      <c r="H799" s="201" t="e">
        <f t="shared" si="117"/>
        <v>#DIV/0!</v>
      </c>
      <c r="I799" s="268" t="e">
        <f t="shared" si="117"/>
        <v>#DIV/0!</v>
      </c>
      <c r="J799" s="234"/>
      <c r="K799" s="337"/>
      <c r="L799" s="162"/>
      <c r="M799" s="201"/>
      <c r="N799" s="164"/>
      <c r="O799" s="618">
        <f t="shared" si="118"/>
        <v>360</v>
      </c>
      <c r="P799" s="258" t="e">
        <f t="shared" si="115"/>
        <v>#DIV/0!</v>
      </c>
      <c r="Q799" s="252" t="e">
        <f t="shared" si="116"/>
        <v>#DIV/0!</v>
      </c>
      <c r="R799" s="163"/>
      <c r="S799" s="163"/>
      <c r="T799" s="163"/>
      <c r="U799" s="163"/>
      <c r="V799" s="164"/>
      <c r="W799" s="165"/>
      <c r="X799" s="166"/>
      <c r="Z799" s="156"/>
      <c r="AA799" s="156"/>
    </row>
    <row r="800" spans="1:27" s="155" customFormat="1" ht="15" customHeight="1">
      <c r="A800" s="215"/>
      <c r="B800" s="213" t="s">
        <v>396</v>
      </c>
      <c r="C800" s="488"/>
      <c r="D800" s="201"/>
      <c r="E800" s="201"/>
      <c r="F800" s="201"/>
      <c r="G800" s="201"/>
      <c r="H800" s="201" t="e">
        <f t="shared" si="117"/>
        <v>#DIV/0!</v>
      </c>
      <c r="I800" s="268" t="e">
        <f t="shared" si="117"/>
        <v>#DIV/0!</v>
      </c>
      <c r="J800" s="234"/>
      <c r="K800" s="337"/>
      <c r="L800" s="162"/>
      <c r="M800" s="201"/>
      <c r="N800" s="164"/>
      <c r="O800" s="618">
        <f t="shared" si="118"/>
        <v>360</v>
      </c>
      <c r="P800" s="258" t="e">
        <f t="shared" si="115"/>
        <v>#DIV/0!</v>
      </c>
      <c r="Q800" s="252" t="e">
        <f t="shared" si="116"/>
        <v>#DIV/0!</v>
      </c>
      <c r="R800" s="163"/>
      <c r="S800" s="163"/>
      <c r="T800" s="163"/>
      <c r="U800" s="163"/>
      <c r="V800" s="164"/>
      <c r="W800" s="165"/>
      <c r="X800" s="166"/>
      <c r="Z800" s="156"/>
      <c r="AA800" s="156"/>
    </row>
    <row r="801" spans="1:27" s="155" customFormat="1" ht="15" customHeight="1">
      <c r="A801" s="215"/>
      <c r="B801" s="213" t="s">
        <v>397</v>
      </c>
      <c r="C801" s="488"/>
      <c r="D801" s="201"/>
      <c r="E801" s="201"/>
      <c r="F801" s="201"/>
      <c r="G801" s="201"/>
      <c r="H801" s="201" t="e">
        <f t="shared" si="117"/>
        <v>#DIV/0!</v>
      </c>
      <c r="I801" s="268" t="e">
        <f t="shared" si="117"/>
        <v>#DIV/0!</v>
      </c>
      <c r="J801" s="234"/>
      <c r="K801" s="337"/>
      <c r="L801" s="162"/>
      <c r="M801" s="201"/>
      <c r="N801" s="164"/>
      <c r="O801" s="618">
        <f t="shared" si="118"/>
        <v>360</v>
      </c>
      <c r="P801" s="258" t="e">
        <f t="shared" si="115"/>
        <v>#DIV/0!</v>
      </c>
      <c r="Q801" s="252" t="e">
        <f t="shared" si="116"/>
        <v>#DIV/0!</v>
      </c>
      <c r="R801" s="163"/>
      <c r="S801" s="163"/>
      <c r="T801" s="163"/>
      <c r="U801" s="163"/>
      <c r="V801" s="164"/>
      <c r="W801" s="165"/>
      <c r="X801" s="166"/>
      <c r="Z801" s="156"/>
      <c r="AA801" s="156"/>
    </row>
    <row r="802" spans="1:27" s="155" customFormat="1" ht="15" customHeight="1">
      <c r="A802" s="215"/>
      <c r="B802" s="213" t="s">
        <v>398</v>
      </c>
      <c r="C802" s="488"/>
      <c r="D802" s="201"/>
      <c r="E802" s="201"/>
      <c r="F802" s="201"/>
      <c r="G802" s="201"/>
      <c r="H802" s="201" t="e">
        <f t="shared" si="117"/>
        <v>#DIV/0!</v>
      </c>
      <c r="I802" s="268" t="e">
        <f t="shared" si="117"/>
        <v>#DIV/0!</v>
      </c>
      <c r="J802" s="234"/>
      <c r="K802" s="337"/>
      <c r="L802" s="162"/>
      <c r="M802" s="201"/>
      <c r="N802" s="164"/>
      <c r="O802" s="618">
        <f t="shared" si="118"/>
        <v>360</v>
      </c>
      <c r="P802" s="258" t="e">
        <f t="shared" si="115"/>
        <v>#DIV/0!</v>
      </c>
      <c r="Q802" s="252" t="e">
        <f t="shared" si="116"/>
        <v>#DIV/0!</v>
      </c>
      <c r="R802" s="163"/>
      <c r="S802" s="163"/>
      <c r="T802" s="163"/>
      <c r="U802" s="163"/>
      <c r="V802" s="164"/>
      <c r="W802" s="165"/>
      <c r="X802" s="166"/>
      <c r="Z802" s="156"/>
      <c r="AA802" s="156"/>
    </row>
    <row r="803" spans="1:27" s="155" customFormat="1" ht="15" customHeight="1">
      <c r="A803" s="215"/>
      <c r="B803" s="213" t="s">
        <v>399</v>
      </c>
      <c r="C803" s="488"/>
      <c r="D803" s="201"/>
      <c r="E803" s="201"/>
      <c r="F803" s="201"/>
      <c r="G803" s="201"/>
      <c r="H803" s="201" t="e">
        <f t="shared" si="117"/>
        <v>#DIV/0!</v>
      </c>
      <c r="I803" s="268" t="e">
        <f t="shared" si="117"/>
        <v>#DIV/0!</v>
      </c>
      <c r="J803" s="234"/>
      <c r="K803" s="337"/>
      <c r="L803" s="162"/>
      <c r="M803" s="201"/>
      <c r="N803" s="164"/>
      <c r="O803" s="618">
        <f t="shared" si="118"/>
        <v>360</v>
      </c>
      <c r="P803" s="258" t="e">
        <f t="shared" si="115"/>
        <v>#DIV/0!</v>
      </c>
      <c r="Q803" s="252" t="e">
        <f t="shared" si="116"/>
        <v>#DIV/0!</v>
      </c>
      <c r="R803" s="163"/>
      <c r="S803" s="163"/>
      <c r="T803" s="163"/>
      <c r="U803" s="163"/>
      <c r="V803" s="164"/>
      <c r="W803" s="165"/>
      <c r="X803" s="166"/>
      <c r="Z803" s="156"/>
      <c r="AA803" s="156"/>
    </row>
    <row r="804" spans="1:27" s="155" customFormat="1" ht="15" customHeight="1">
      <c r="A804" s="215"/>
      <c r="B804" s="213" t="s">
        <v>400</v>
      </c>
      <c r="C804" s="488"/>
      <c r="D804" s="201"/>
      <c r="E804" s="201"/>
      <c r="F804" s="201"/>
      <c r="G804" s="201"/>
      <c r="H804" s="201" t="e">
        <f t="shared" si="117"/>
        <v>#DIV/0!</v>
      </c>
      <c r="I804" s="268" t="e">
        <f t="shared" si="117"/>
        <v>#DIV/0!</v>
      </c>
      <c r="J804" s="234"/>
      <c r="K804" s="337"/>
      <c r="L804" s="162"/>
      <c r="M804" s="201"/>
      <c r="N804" s="164"/>
      <c r="O804" s="618">
        <f t="shared" si="118"/>
        <v>360</v>
      </c>
      <c r="P804" s="258" t="e">
        <f t="shared" si="115"/>
        <v>#DIV/0!</v>
      </c>
      <c r="Q804" s="252" t="e">
        <f t="shared" si="116"/>
        <v>#DIV/0!</v>
      </c>
      <c r="R804" s="163"/>
      <c r="S804" s="163"/>
      <c r="T804" s="163"/>
      <c r="U804" s="163"/>
      <c r="V804" s="164"/>
      <c r="W804" s="165"/>
      <c r="X804" s="166"/>
      <c r="Z804" s="156"/>
      <c r="AA804" s="156"/>
    </row>
    <row r="805" spans="1:27" s="155" customFormat="1" ht="15" customHeight="1">
      <c r="A805" s="215"/>
      <c r="B805" s="213" t="s">
        <v>401</v>
      </c>
      <c r="C805" s="488"/>
      <c r="D805" s="201"/>
      <c r="E805" s="201"/>
      <c r="F805" s="201"/>
      <c r="G805" s="201"/>
      <c r="H805" s="201" t="e">
        <f t="shared" si="117"/>
        <v>#DIV/0!</v>
      </c>
      <c r="I805" s="268" t="e">
        <f t="shared" si="117"/>
        <v>#DIV/0!</v>
      </c>
      <c r="J805" s="234"/>
      <c r="K805" s="337"/>
      <c r="L805" s="162"/>
      <c r="M805" s="201"/>
      <c r="N805" s="164"/>
      <c r="O805" s="618">
        <f t="shared" si="118"/>
        <v>360</v>
      </c>
      <c r="P805" s="258" t="e">
        <f t="shared" si="115"/>
        <v>#DIV/0!</v>
      </c>
      <c r="Q805" s="252" t="e">
        <f t="shared" si="116"/>
        <v>#DIV/0!</v>
      </c>
      <c r="R805" s="163"/>
      <c r="S805" s="163"/>
      <c r="T805" s="163"/>
      <c r="U805" s="163"/>
      <c r="V805" s="164"/>
      <c r="W805" s="165"/>
      <c r="X805" s="166"/>
      <c r="Z805" s="156"/>
      <c r="AA805" s="156"/>
    </row>
    <row r="806" spans="1:27" s="155" customFormat="1" ht="15" customHeight="1">
      <c r="A806" s="215"/>
      <c r="B806" s="213" t="s">
        <v>402</v>
      </c>
      <c r="C806" s="488"/>
      <c r="D806" s="201"/>
      <c r="E806" s="201"/>
      <c r="F806" s="201"/>
      <c r="G806" s="201"/>
      <c r="H806" s="201" t="e">
        <f t="shared" si="117"/>
        <v>#DIV/0!</v>
      </c>
      <c r="I806" s="268" t="e">
        <f t="shared" si="117"/>
        <v>#DIV/0!</v>
      </c>
      <c r="J806" s="234"/>
      <c r="K806" s="337"/>
      <c r="L806" s="162"/>
      <c r="M806" s="201"/>
      <c r="N806" s="164"/>
      <c r="O806" s="618">
        <f t="shared" si="118"/>
        <v>360</v>
      </c>
      <c r="P806" s="258" t="e">
        <f t="shared" si="115"/>
        <v>#DIV/0!</v>
      </c>
      <c r="Q806" s="252" t="e">
        <f t="shared" si="116"/>
        <v>#DIV/0!</v>
      </c>
      <c r="R806" s="163"/>
      <c r="S806" s="163"/>
      <c r="T806" s="163"/>
      <c r="U806" s="163"/>
      <c r="V806" s="164"/>
      <c r="W806" s="165"/>
      <c r="X806" s="166"/>
      <c r="Z806" s="156"/>
      <c r="AA806" s="156"/>
    </row>
    <row r="807" spans="1:27" s="155" customFormat="1" ht="15" customHeight="1">
      <c r="A807" s="215"/>
      <c r="B807" s="213" t="s">
        <v>403</v>
      </c>
      <c r="C807" s="488"/>
      <c r="D807" s="201"/>
      <c r="E807" s="201"/>
      <c r="F807" s="201"/>
      <c r="G807" s="201"/>
      <c r="H807" s="201" t="e">
        <f t="shared" si="117"/>
        <v>#DIV/0!</v>
      </c>
      <c r="I807" s="268" t="e">
        <f t="shared" si="117"/>
        <v>#DIV/0!</v>
      </c>
      <c r="J807" s="234"/>
      <c r="K807" s="337"/>
      <c r="L807" s="162"/>
      <c r="M807" s="201"/>
      <c r="N807" s="164"/>
      <c r="O807" s="618">
        <f t="shared" si="118"/>
        <v>360</v>
      </c>
      <c r="P807" s="258" t="e">
        <f t="shared" si="115"/>
        <v>#DIV/0!</v>
      </c>
      <c r="Q807" s="252" t="e">
        <f t="shared" si="116"/>
        <v>#DIV/0!</v>
      </c>
      <c r="R807" s="163"/>
      <c r="S807" s="163"/>
      <c r="T807" s="163"/>
      <c r="U807" s="163"/>
      <c r="V807" s="164"/>
      <c r="W807" s="165"/>
      <c r="X807" s="166"/>
      <c r="Z807" s="156"/>
      <c r="AA807" s="156"/>
    </row>
    <row r="808" spans="1:27" s="155" customFormat="1" ht="15" customHeight="1">
      <c r="A808" s="215"/>
      <c r="B808" s="213" t="s">
        <v>404</v>
      </c>
      <c r="C808" s="488"/>
      <c r="D808" s="201"/>
      <c r="E808" s="201"/>
      <c r="F808" s="201"/>
      <c r="G808" s="201"/>
      <c r="H808" s="201" t="e">
        <f t="shared" si="117"/>
        <v>#DIV/0!</v>
      </c>
      <c r="I808" s="268" t="e">
        <f t="shared" si="117"/>
        <v>#DIV/0!</v>
      </c>
      <c r="J808" s="234"/>
      <c r="K808" s="337"/>
      <c r="L808" s="162"/>
      <c r="M808" s="201"/>
      <c r="N808" s="164"/>
      <c r="O808" s="618">
        <f t="shared" si="118"/>
        <v>360</v>
      </c>
      <c r="P808" s="258" t="e">
        <f t="shared" si="115"/>
        <v>#DIV/0!</v>
      </c>
      <c r="Q808" s="252" t="e">
        <f t="shared" si="116"/>
        <v>#DIV/0!</v>
      </c>
      <c r="R808" s="163"/>
      <c r="S808" s="163"/>
      <c r="T808" s="163"/>
      <c r="U808" s="163"/>
      <c r="V808" s="164"/>
      <c r="W808" s="165"/>
      <c r="X808" s="166"/>
      <c r="Z808" s="156"/>
      <c r="AA808" s="156"/>
    </row>
    <row r="809" spans="1:27" s="155" customFormat="1" ht="15" customHeight="1">
      <c r="A809" s="215"/>
      <c r="B809" s="213" t="s">
        <v>405</v>
      </c>
      <c r="C809" s="488"/>
      <c r="D809" s="201"/>
      <c r="E809" s="201"/>
      <c r="F809" s="201"/>
      <c r="G809" s="201"/>
      <c r="H809" s="201" t="e">
        <f t="shared" si="117"/>
        <v>#DIV/0!</v>
      </c>
      <c r="I809" s="268" t="e">
        <f t="shared" si="117"/>
        <v>#DIV/0!</v>
      </c>
      <c r="J809" s="234"/>
      <c r="K809" s="337"/>
      <c r="L809" s="162"/>
      <c r="M809" s="201"/>
      <c r="N809" s="164"/>
      <c r="O809" s="618">
        <f t="shared" si="118"/>
        <v>360</v>
      </c>
      <c r="P809" s="258" t="e">
        <f t="shared" si="115"/>
        <v>#DIV/0!</v>
      </c>
      <c r="Q809" s="252" t="e">
        <f t="shared" si="116"/>
        <v>#DIV/0!</v>
      </c>
      <c r="R809" s="163"/>
      <c r="S809" s="163"/>
      <c r="T809" s="163"/>
      <c r="U809" s="163"/>
      <c r="V809" s="164"/>
      <c r="W809" s="165"/>
      <c r="X809" s="166"/>
      <c r="Z809" s="156"/>
      <c r="AA809" s="156"/>
    </row>
    <row r="810" spans="1:27" s="155" customFormat="1" ht="15" customHeight="1">
      <c r="A810" s="215"/>
      <c r="B810" s="213" t="s">
        <v>406</v>
      </c>
      <c r="C810" s="488"/>
      <c r="D810" s="201"/>
      <c r="E810" s="201"/>
      <c r="F810" s="201"/>
      <c r="G810" s="201"/>
      <c r="H810" s="201" t="e">
        <f t="shared" si="117"/>
        <v>#DIV/0!</v>
      </c>
      <c r="I810" s="268" t="e">
        <f t="shared" si="117"/>
        <v>#DIV/0!</v>
      </c>
      <c r="J810" s="234"/>
      <c r="K810" s="337"/>
      <c r="L810" s="162"/>
      <c r="M810" s="201"/>
      <c r="N810" s="164"/>
      <c r="O810" s="618">
        <f t="shared" si="118"/>
        <v>360</v>
      </c>
      <c r="P810" s="258" t="e">
        <f t="shared" si="115"/>
        <v>#DIV/0!</v>
      </c>
      <c r="Q810" s="252" t="e">
        <f t="shared" si="116"/>
        <v>#DIV/0!</v>
      </c>
      <c r="R810" s="163"/>
      <c r="S810" s="163"/>
      <c r="T810" s="163"/>
      <c r="U810" s="163"/>
      <c r="V810" s="164"/>
      <c r="W810" s="165"/>
      <c r="X810" s="166"/>
      <c r="Z810" s="156"/>
      <c r="AA810" s="156"/>
    </row>
    <row r="811" spans="1:27" s="155" customFormat="1" ht="15" customHeight="1">
      <c r="A811" s="215"/>
      <c r="B811" s="213" t="s">
        <v>407</v>
      </c>
      <c r="C811" s="488"/>
      <c r="D811" s="201"/>
      <c r="E811" s="201"/>
      <c r="F811" s="201"/>
      <c r="G811" s="201"/>
      <c r="H811" s="201" t="e">
        <f t="shared" si="117"/>
        <v>#DIV/0!</v>
      </c>
      <c r="I811" s="268" t="e">
        <f t="shared" si="117"/>
        <v>#DIV/0!</v>
      </c>
      <c r="J811" s="234"/>
      <c r="K811" s="337"/>
      <c r="L811" s="162"/>
      <c r="M811" s="201"/>
      <c r="N811" s="164"/>
      <c r="O811" s="618">
        <f t="shared" si="118"/>
        <v>360</v>
      </c>
      <c r="P811" s="258" t="e">
        <f t="shared" si="115"/>
        <v>#DIV/0!</v>
      </c>
      <c r="Q811" s="252" t="e">
        <f t="shared" si="116"/>
        <v>#DIV/0!</v>
      </c>
      <c r="R811" s="163"/>
      <c r="S811" s="163"/>
      <c r="T811" s="163"/>
      <c r="U811" s="163"/>
      <c r="V811" s="164"/>
      <c r="W811" s="165"/>
      <c r="X811" s="166"/>
      <c r="Z811" s="156"/>
      <c r="AA811" s="156"/>
    </row>
    <row r="812" spans="1:27" s="155" customFormat="1" ht="15" customHeight="1">
      <c r="A812" s="215"/>
      <c r="B812" s="213" t="s">
        <v>408</v>
      </c>
      <c r="C812" s="488"/>
      <c r="D812" s="201"/>
      <c r="E812" s="201"/>
      <c r="F812" s="201"/>
      <c r="G812" s="201"/>
      <c r="H812" s="201" t="e">
        <f t="shared" si="117"/>
        <v>#DIV/0!</v>
      </c>
      <c r="I812" s="268" t="e">
        <f t="shared" si="117"/>
        <v>#DIV/0!</v>
      </c>
      <c r="J812" s="234"/>
      <c r="K812" s="337"/>
      <c r="L812" s="162"/>
      <c r="M812" s="201"/>
      <c r="N812" s="164"/>
      <c r="O812" s="618">
        <f t="shared" si="118"/>
        <v>360</v>
      </c>
      <c r="P812" s="258" t="e">
        <f t="shared" si="115"/>
        <v>#DIV/0!</v>
      </c>
      <c r="Q812" s="252" t="e">
        <f t="shared" si="116"/>
        <v>#DIV/0!</v>
      </c>
      <c r="R812" s="163"/>
      <c r="S812" s="163"/>
      <c r="T812" s="163"/>
      <c r="U812" s="163"/>
      <c r="V812" s="164"/>
      <c r="W812" s="165"/>
      <c r="X812" s="166"/>
      <c r="Z812" s="156"/>
      <c r="AA812" s="156"/>
    </row>
    <row r="813" spans="1:27" s="155" customFormat="1" ht="15" customHeight="1">
      <c r="A813" s="215"/>
      <c r="B813" s="213" t="s">
        <v>409</v>
      </c>
      <c r="C813" s="488"/>
      <c r="D813" s="201"/>
      <c r="E813" s="201"/>
      <c r="F813" s="201"/>
      <c r="G813" s="201"/>
      <c r="H813" s="201" t="e">
        <f t="shared" ref="H813:I828" si="119">H812</f>
        <v>#DIV/0!</v>
      </c>
      <c r="I813" s="268" t="e">
        <f t="shared" si="119"/>
        <v>#DIV/0!</v>
      </c>
      <c r="J813" s="234"/>
      <c r="K813" s="337"/>
      <c r="L813" s="162"/>
      <c r="M813" s="201"/>
      <c r="N813" s="164"/>
      <c r="O813" s="618">
        <f t="shared" si="118"/>
        <v>360</v>
      </c>
      <c r="P813" s="258" t="e">
        <f t="shared" si="115"/>
        <v>#DIV/0!</v>
      </c>
      <c r="Q813" s="252" t="e">
        <f t="shared" si="116"/>
        <v>#DIV/0!</v>
      </c>
      <c r="R813" s="163"/>
      <c r="S813" s="163"/>
      <c r="T813" s="163"/>
      <c r="U813" s="163"/>
      <c r="V813" s="164"/>
      <c r="W813" s="165"/>
      <c r="X813" s="166"/>
      <c r="Z813" s="156"/>
      <c r="AA813" s="156"/>
    </row>
    <row r="814" spans="1:27" s="155" customFormat="1" ht="15" customHeight="1">
      <c r="A814" s="215"/>
      <c r="B814" s="213" t="s">
        <v>410</v>
      </c>
      <c r="C814" s="488"/>
      <c r="D814" s="201"/>
      <c r="E814" s="201"/>
      <c r="F814" s="201"/>
      <c r="G814" s="201"/>
      <c r="H814" s="201" t="e">
        <f t="shared" si="119"/>
        <v>#DIV/0!</v>
      </c>
      <c r="I814" s="268" t="e">
        <f t="shared" si="119"/>
        <v>#DIV/0!</v>
      </c>
      <c r="J814" s="234"/>
      <c r="K814" s="337"/>
      <c r="L814" s="162"/>
      <c r="M814" s="201"/>
      <c r="N814" s="164"/>
      <c r="O814" s="618">
        <f t="shared" si="118"/>
        <v>360</v>
      </c>
      <c r="P814" s="258" t="e">
        <f t="shared" si="115"/>
        <v>#DIV/0!</v>
      </c>
      <c r="Q814" s="252" t="e">
        <f t="shared" si="116"/>
        <v>#DIV/0!</v>
      </c>
      <c r="R814" s="163"/>
      <c r="S814" s="163"/>
      <c r="T814" s="163"/>
      <c r="U814" s="163"/>
      <c r="V814" s="164"/>
      <c r="W814" s="165"/>
      <c r="X814" s="166"/>
      <c r="Z814" s="156"/>
      <c r="AA814" s="156"/>
    </row>
    <row r="815" spans="1:27" s="155" customFormat="1" ht="15" customHeight="1">
      <c r="A815" s="215"/>
      <c r="B815" s="213" t="s">
        <v>411</v>
      </c>
      <c r="C815" s="488"/>
      <c r="D815" s="201"/>
      <c r="E815" s="201"/>
      <c r="F815" s="201"/>
      <c r="G815" s="201"/>
      <c r="H815" s="201" t="e">
        <f t="shared" si="119"/>
        <v>#DIV/0!</v>
      </c>
      <c r="I815" s="268" t="e">
        <f t="shared" si="119"/>
        <v>#DIV/0!</v>
      </c>
      <c r="J815" s="234"/>
      <c r="K815" s="337"/>
      <c r="L815" s="162"/>
      <c r="M815" s="201"/>
      <c r="N815" s="164"/>
      <c r="O815" s="618">
        <f t="shared" si="118"/>
        <v>360</v>
      </c>
      <c r="P815" s="258" t="e">
        <f t="shared" si="115"/>
        <v>#DIV/0!</v>
      </c>
      <c r="Q815" s="252" t="e">
        <f t="shared" si="116"/>
        <v>#DIV/0!</v>
      </c>
      <c r="R815" s="163"/>
      <c r="S815" s="163"/>
      <c r="T815" s="163"/>
      <c r="U815" s="163"/>
      <c r="V815" s="164"/>
      <c r="W815" s="165"/>
      <c r="X815" s="166"/>
      <c r="Z815" s="156"/>
      <c r="AA815" s="156"/>
    </row>
    <row r="816" spans="1:27" s="155" customFormat="1" ht="15" customHeight="1">
      <c r="A816" s="215"/>
      <c r="B816" s="213" t="s">
        <v>412</v>
      </c>
      <c r="C816" s="488"/>
      <c r="D816" s="201"/>
      <c r="E816" s="201"/>
      <c r="F816" s="201"/>
      <c r="G816" s="201"/>
      <c r="H816" s="201" t="e">
        <f t="shared" si="119"/>
        <v>#DIV/0!</v>
      </c>
      <c r="I816" s="268" t="e">
        <f t="shared" si="119"/>
        <v>#DIV/0!</v>
      </c>
      <c r="J816" s="234"/>
      <c r="K816" s="337"/>
      <c r="L816" s="162"/>
      <c r="M816" s="201"/>
      <c r="N816" s="164"/>
      <c r="O816" s="618">
        <f t="shared" si="118"/>
        <v>360</v>
      </c>
      <c r="P816" s="258" t="e">
        <f t="shared" si="115"/>
        <v>#DIV/0!</v>
      </c>
      <c r="Q816" s="252" t="e">
        <f t="shared" si="116"/>
        <v>#DIV/0!</v>
      </c>
      <c r="R816" s="163"/>
      <c r="S816" s="163"/>
      <c r="T816" s="163"/>
      <c r="U816" s="163"/>
      <c r="V816" s="164"/>
      <c r="W816" s="165"/>
      <c r="X816" s="166"/>
      <c r="Z816" s="156"/>
      <c r="AA816" s="156"/>
    </row>
    <row r="817" spans="1:27" s="155" customFormat="1" ht="15" customHeight="1">
      <c r="A817" s="215"/>
      <c r="B817" s="213" t="s">
        <v>413</v>
      </c>
      <c r="C817" s="488"/>
      <c r="D817" s="201"/>
      <c r="E817" s="201"/>
      <c r="F817" s="201"/>
      <c r="G817" s="201"/>
      <c r="H817" s="201" t="e">
        <f t="shared" si="119"/>
        <v>#DIV/0!</v>
      </c>
      <c r="I817" s="268" t="e">
        <f t="shared" si="119"/>
        <v>#DIV/0!</v>
      </c>
      <c r="J817" s="234"/>
      <c r="K817" s="337"/>
      <c r="L817" s="162"/>
      <c r="M817" s="201"/>
      <c r="N817" s="164"/>
      <c r="O817" s="618">
        <f t="shared" si="118"/>
        <v>360</v>
      </c>
      <c r="P817" s="258" t="e">
        <f t="shared" si="115"/>
        <v>#DIV/0!</v>
      </c>
      <c r="Q817" s="252" t="e">
        <f t="shared" si="116"/>
        <v>#DIV/0!</v>
      </c>
      <c r="R817" s="163"/>
      <c r="S817" s="163"/>
      <c r="T817" s="163"/>
      <c r="U817" s="163"/>
      <c r="V817" s="164"/>
      <c r="W817" s="165"/>
      <c r="X817" s="166"/>
      <c r="Z817" s="156"/>
      <c r="AA817" s="156"/>
    </row>
    <row r="818" spans="1:27" s="155" customFormat="1" ht="15" customHeight="1">
      <c r="A818" s="215"/>
      <c r="B818" s="213" t="s">
        <v>414</v>
      </c>
      <c r="C818" s="488"/>
      <c r="D818" s="201"/>
      <c r="E818" s="201"/>
      <c r="F818" s="201"/>
      <c r="G818" s="201"/>
      <c r="H818" s="201" t="e">
        <f t="shared" si="119"/>
        <v>#DIV/0!</v>
      </c>
      <c r="I818" s="268" t="e">
        <f t="shared" si="119"/>
        <v>#DIV/0!</v>
      </c>
      <c r="J818" s="234"/>
      <c r="K818" s="337"/>
      <c r="L818" s="162"/>
      <c r="M818" s="201"/>
      <c r="N818" s="164"/>
      <c r="O818" s="618">
        <f t="shared" si="118"/>
        <v>360</v>
      </c>
      <c r="P818" s="258" t="e">
        <f t="shared" si="115"/>
        <v>#DIV/0!</v>
      </c>
      <c r="Q818" s="252" t="e">
        <f t="shared" si="116"/>
        <v>#DIV/0!</v>
      </c>
      <c r="R818" s="163"/>
      <c r="S818" s="163"/>
      <c r="T818" s="163"/>
      <c r="U818" s="163"/>
      <c r="V818" s="164"/>
      <c r="W818" s="165"/>
      <c r="X818" s="166"/>
      <c r="Z818" s="156"/>
      <c r="AA818" s="156"/>
    </row>
    <row r="819" spans="1:27" s="155" customFormat="1" ht="15" customHeight="1">
      <c r="A819" s="215"/>
      <c r="B819" s="213" t="s">
        <v>415</v>
      </c>
      <c r="C819" s="488"/>
      <c r="D819" s="201"/>
      <c r="E819" s="201"/>
      <c r="F819" s="201"/>
      <c r="G819" s="201"/>
      <c r="H819" s="201" t="e">
        <f t="shared" si="119"/>
        <v>#DIV/0!</v>
      </c>
      <c r="I819" s="268" t="e">
        <f t="shared" si="119"/>
        <v>#DIV/0!</v>
      </c>
      <c r="J819" s="234"/>
      <c r="K819" s="337"/>
      <c r="L819" s="162"/>
      <c r="M819" s="201"/>
      <c r="N819" s="164"/>
      <c r="O819" s="618">
        <f t="shared" si="118"/>
        <v>360</v>
      </c>
      <c r="P819" s="258" t="e">
        <f t="shared" si="115"/>
        <v>#DIV/0!</v>
      </c>
      <c r="Q819" s="252" t="e">
        <f t="shared" si="116"/>
        <v>#DIV/0!</v>
      </c>
      <c r="R819" s="163"/>
      <c r="S819" s="163"/>
      <c r="T819" s="163"/>
      <c r="U819" s="163"/>
      <c r="V819" s="164"/>
      <c r="W819" s="165"/>
      <c r="X819" s="166"/>
      <c r="Z819" s="156"/>
      <c r="AA819" s="156"/>
    </row>
    <row r="820" spans="1:27" s="155" customFormat="1" ht="15" customHeight="1">
      <c r="A820" s="215"/>
      <c r="B820" s="213" t="s">
        <v>416</v>
      </c>
      <c r="C820" s="488"/>
      <c r="D820" s="201"/>
      <c r="E820" s="201"/>
      <c r="F820" s="201"/>
      <c r="G820" s="201"/>
      <c r="H820" s="201" t="e">
        <f t="shared" si="119"/>
        <v>#DIV/0!</v>
      </c>
      <c r="I820" s="268" t="e">
        <f t="shared" si="119"/>
        <v>#DIV/0!</v>
      </c>
      <c r="J820" s="234"/>
      <c r="K820" s="337"/>
      <c r="L820" s="162"/>
      <c r="M820" s="201"/>
      <c r="N820" s="164"/>
      <c r="O820" s="618">
        <f t="shared" si="118"/>
        <v>360</v>
      </c>
      <c r="P820" s="258" t="e">
        <f t="shared" si="115"/>
        <v>#DIV/0!</v>
      </c>
      <c r="Q820" s="252" t="e">
        <f t="shared" si="116"/>
        <v>#DIV/0!</v>
      </c>
      <c r="R820" s="163"/>
      <c r="S820" s="163"/>
      <c r="T820" s="163"/>
      <c r="U820" s="163"/>
      <c r="V820" s="164"/>
      <c r="W820" s="165"/>
      <c r="X820" s="166"/>
      <c r="Z820" s="156"/>
      <c r="AA820" s="156"/>
    </row>
    <row r="821" spans="1:27" s="155" customFormat="1" ht="15" customHeight="1">
      <c r="A821" s="215"/>
      <c r="B821" s="213" t="s">
        <v>417</v>
      </c>
      <c r="C821" s="488"/>
      <c r="D821" s="201"/>
      <c r="E821" s="201"/>
      <c r="F821" s="201"/>
      <c r="G821" s="201"/>
      <c r="H821" s="201" t="e">
        <f t="shared" si="119"/>
        <v>#DIV/0!</v>
      </c>
      <c r="I821" s="268" t="e">
        <f t="shared" si="119"/>
        <v>#DIV/0!</v>
      </c>
      <c r="J821" s="234"/>
      <c r="K821" s="337"/>
      <c r="L821" s="162"/>
      <c r="M821" s="201"/>
      <c r="N821" s="164"/>
      <c r="O821" s="618">
        <f t="shared" si="118"/>
        <v>360</v>
      </c>
      <c r="P821" s="258" t="e">
        <f t="shared" si="115"/>
        <v>#DIV/0!</v>
      </c>
      <c r="Q821" s="252" t="e">
        <f t="shared" si="116"/>
        <v>#DIV/0!</v>
      </c>
      <c r="R821" s="163"/>
      <c r="S821" s="163"/>
      <c r="T821" s="163"/>
      <c r="U821" s="163"/>
      <c r="V821" s="164"/>
      <c r="W821" s="165"/>
      <c r="X821" s="166"/>
      <c r="Z821" s="156"/>
      <c r="AA821" s="156"/>
    </row>
    <row r="822" spans="1:27" s="155" customFormat="1" ht="15" customHeight="1">
      <c r="A822" s="215"/>
      <c r="B822" s="213" t="s">
        <v>418</v>
      </c>
      <c r="C822" s="488"/>
      <c r="D822" s="201"/>
      <c r="E822" s="201"/>
      <c r="F822" s="201"/>
      <c r="G822" s="201"/>
      <c r="H822" s="201" t="e">
        <f t="shared" si="119"/>
        <v>#DIV/0!</v>
      </c>
      <c r="I822" s="268" t="e">
        <f t="shared" si="119"/>
        <v>#DIV/0!</v>
      </c>
      <c r="J822" s="234"/>
      <c r="K822" s="337"/>
      <c r="L822" s="162"/>
      <c r="M822" s="201"/>
      <c r="N822" s="164"/>
      <c r="O822" s="618">
        <f t="shared" si="118"/>
        <v>360</v>
      </c>
      <c r="P822" s="258" t="e">
        <f t="shared" si="115"/>
        <v>#DIV/0!</v>
      </c>
      <c r="Q822" s="252" t="e">
        <f t="shared" si="116"/>
        <v>#DIV/0!</v>
      </c>
      <c r="R822" s="163"/>
      <c r="S822" s="163"/>
      <c r="T822" s="163"/>
      <c r="U822" s="163"/>
      <c r="V822" s="164"/>
      <c r="W822" s="165"/>
      <c r="X822" s="166"/>
      <c r="Z822" s="156"/>
      <c r="AA822" s="156"/>
    </row>
    <row r="823" spans="1:27" s="155" customFormat="1" ht="15" customHeight="1">
      <c r="A823" s="215"/>
      <c r="B823" s="213" t="s">
        <v>419</v>
      </c>
      <c r="C823" s="488"/>
      <c r="D823" s="201"/>
      <c r="E823" s="201"/>
      <c r="F823" s="201"/>
      <c r="G823" s="201"/>
      <c r="H823" s="201" t="e">
        <f t="shared" si="119"/>
        <v>#DIV/0!</v>
      </c>
      <c r="I823" s="268" t="e">
        <f t="shared" si="119"/>
        <v>#DIV/0!</v>
      </c>
      <c r="J823" s="234"/>
      <c r="K823" s="337"/>
      <c r="L823" s="162"/>
      <c r="M823" s="201"/>
      <c r="N823" s="164"/>
      <c r="O823" s="618">
        <f t="shared" si="118"/>
        <v>360</v>
      </c>
      <c r="P823" s="258" t="e">
        <f t="shared" si="115"/>
        <v>#DIV/0!</v>
      </c>
      <c r="Q823" s="252" t="e">
        <f t="shared" si="116"/>
        <v>#DIV/0!</v>
      </c>
      <c r="R823" s="163"/>
      <c r="S823" s="163"/>
      <c r="T823" s="163"/>
      <c r="U823" s="163"/>
      <c r="V823" s="164"/>
      <c r="W823" s="165"/>
      <c r="X823" s="166"/>
      <c r="Z823" s="156"/>
      <c r="AA823" s="156"/>
    </row>
    <row r="824" spans="1:27" s="155" customFormat="1" ht="15" customHeight="1">
      <c r="A824" s="215"/>
      <c r="B824" s="213" t="s">
        <v>420</v>
      </c>
      <c r="C824" s="488"/>
      <c r="D824" s="201"/>
      <c r="E824" s="201"/>
      <c r="F824" s="201"/>
      <c r="G824" s="201"/>
      <c r="H824" s="201" t="e">
        <f t="shared" si="119"/>
        <v>#DIV/0!</v>
      </c>
      <c r="I824" s="268" t="e">
        <f t="shared" si="119"/>
        <v>#DIV/0!</v>
      </c>
      <c r="J824" s="234"/>
      <c r="K824" s="337"/>
      <c r="L824" s="162"/>
      <c r="M824" s="201"/>
      <c r="N824" s="164"/>
      <c r="O824" s="618">
        <f t="shared" si="118"/>
        <v>360</v>
      </c>
      <c r="P824" s="258" t="e">
        <f t="shared" si="115"/>
        <v>#DIV/0!</v>
      </c>
      <c r="Q824" s="252" t="e">
        <f t="shared" si="116"/>
        <v>#DIV/0!</v>
      </c>
      <c r="R824" s="163"/>
      <c r="S824" s="163"/>
      <c r="T824" s="163"/>
      <c r="U824" s="163"/>
      <c r="V824" s="164"/>
      <c r="W824" s="165"/>
      <c r="X824" s="166"/>
      <c r="Z824" s="156"/>
      <c r="AA824" s="156"/>
    </row>
    <row r="825" spans="1:27" s="155" customFormat="1" ht="15" customHeight="1">
      <c r="A825" s="215"/>
      <c r="B825" s="213" t="s">
        <v>990</v>
      </c>
      <c r="C825" s="488"/>
      <c r="D825" s="201"/>
      <c r="E825" s="201"/>
      <c r="F825" s="201"/>
      <c r="G825" s="201"/>
      <c r="H825" s="201" t="e">
        <f t="shared" si="119"/>
        <v>#DIV/0!</v>
      </c>
      <c r="I825" s="268" t="e">
        <f t="shared" si="119"/>
        <v>#DIV/0!</v>
      </c>
      <c r="J825" s="234"/>
      <c r="K825" s="337"/>
      <c r="L825" s="162"/>
      <c r="M825" s="201"/>
      <c r="N825" s="164"/>
      <c r="O825" s="618">
        <f t="shared" si="118"/>
        <v>360</v>
      </c>
      <c r="P825" s="258" t="e">
        <f t="shared" si="115"/>
        <v>#DIV/0!</v>
      </c>
      <c r="Q825" s="252" t="e">
        <f t="shared" si="116"/>
        <v>#DIV/0!</v>
      </c>
      <c r="R825" s="163"/>
      <c r="S825" s="163"/>
      <c r="T825" s="163"/>
      <c r="U825" s="163"/>
      <c r="V825" s="164"/>
      <c r="W825" s="165"/>
      <c r="X825" s="166"/>
      <c r="Z825" s="156"/>
      <c r="AA825" s="156"/>
    </row>
    <row r="826" spans="1:27" s="155" customFormat="1" ht="15" customHeight="1">
      <c r="A826" s="215"/>
      <c r="B826" s="213" t="s">
        <v>991</v>
      </c>
      <c r="C826" s="488"/>
      <c r="D826" s="201"/>
      <c r="E826" s="201"/>
      <c r="F826" s="201"/>
      <c r="G826" s="201"/>
      <c r="H826" s="201" t="e">
        <f t="shared" si="119"/>
        <v>#DIV/0!</v>
      </c>
      <c r="I826" s="268" t="e">
        <f t="shared" si="119"/>
        <v>#DIV/0!</v>
      </c>
      <c r="J826" s="234"/>
      <c r="K826" s="337"/>
      <c r="L826" s="162"/>
      <c r="M826" s="201"/>
      <c r="N826" s="164"/>
      <c r="O826" s="618">
        <f t="shared" si="118"/>
        <v>360</v>
      </c>
      <c r="P826" s="258" t="e">
        <f t="shared" si="115"/>
        <v>#DIV/0!</v>
      </c>
      <c r="Q826" s="252" t="e">
        <f t="shared" si="116"/>
        <v>#DIV/0!</v>
      </c>
      <c r="R826" s="163"/>
      <c r="S826" s="163"/>
      <c r="T826" s="163"/>
      <c r="U826" s="163"/>
      <c r="V826" s="164"/>
      <c r="W826" s="165"/>
      <c r="X826" s="166"/>
      <c r="Z826" s="156"/>
      <c r="AA826" s="156"/>
    </row>
    <row r="827" spans="1:27" s="155" customFormat="1" ht="15" customHeight="1">
      <c r="A827" s="215"/>
      <c r="B827" s="213" t="s">
        <v>992</v>
      </c>
      <c r="C827" s="488"/>
      <c r="D827" s="201"/>
      <c r="E827" s="201"/>
      <c r="F827" s="201"/>
      <c r="G827" s="201"/>
      <c r="H827" s="201" t="e">
        <f t="shared" si="119"/>
        <v>#DIV/0!</v>
      </c>
      <c r="I827" s="268" t="e">
        <f t="shared" si="119"/>
        <v>#DIV/0!</v>
      </c>
      <c r="J827" s="234"/>
      <c r="K827" s="337"/>
      <c r="L827" s="162"/>
      <c r="M827" s="201"/>
      <c r="N827" s="164"/>
      <c r="O827" s="618">
        <f t="shared" si="118"/>
        <v>360</v>
      </c>
      <c r="P827" s="258" t="e">
        <f t="shared" si="115"/>
        <v>#DIV/0!</v>
      </c>
      <c r="Q827" s="252" t="e">
        <f t="shared" si="116"/>
        <v>#DIV/0!</v>
      </c>
      <c r="R827" s="163"/>
      <c r="S827" s="163"/>
      <c r="T827" s="163"/>
      <c r="U827" s="163"/>
      <c r="V827" s="164"/>
      <c r="W827" s="165"/>
      <c r="X827" s="166"/>
      <c r="Z827" s="156"/>
      <c r="AA827" s="156"/>
    </row>
    <row r="828" spans="1:27" s="155" customFormat="1" ht="15" customHeight="1">
      <c r="A828" s="215"/>
      <c r="B828" s="213" t="s">
        <v>993</v>
      </c>
      <c r="C828" s="488"/>
      <c r="D828" s="201"/>
      <c r="E828" s="201"/>
      <c r="F828" s="201"/>
      <c r="G828" s="201"/>
      <c r="H828" s="201" t="e">
        <f t="shared" si="119"/>
        <v>#DIV/0!</v>
      </c>
      <c r="I828" s="268" t="e">
        <f t="shared" si="119"/>
        <v>#DIV/0!</v>
      </c>
      <c r="J828" s="234"/>
      <c r="K828" s="337"/>
      <c r="L828" s="162"/>
      <c r="M828" s="201"/>
      <c r="N828" s="164"/>
      <c r="O828" s="618">
        <f t="shared" si="118"/>
        <v>360</v>
      </c>
      <c r="P828" s="258" t="e">
        <f t="shared" si="115"/>
        <v>#DIV/0!</v>
      </c>
      <c r="Q828" s="252" t="e">
        <f t="shared" si="116"/>
        <v>#DIV/0!</v>
      </c>
      <c r="R828" s="163"/>
      <c r="S828" s="163"/>
      <c r="T828" s="163"/>
      <c r="U828" s="163"/>
      <c r="V828" s="164"/>
      <c r="W828" s="165"/>
      <c r="X828" s="166"/>
      <c r="Z828" s="156"/>
    </row>
    <row r="829" spans="1:27" s="155" customFormat="1" ht="15" customHeight="1">
      <c r="A829" s="215"/>
      <c r="B829" s="213" t="s">
        <v>994</v>
      </c>
      <c r="C829" s="488"/>
      <c r="D829" s="201"/>
      <c r="E829" s="201"/>
      <c r="F829" s="201"/>
      <c r="G829" s="201"/>
      <c r="H829" s="201" t="e">
        <f t="shared" ref="H829:I843" si="120">H828</f>
        <v>#DIV/0!</v>
      </c>
      <c r="I829" s="268" t="e">
        <f t="shared" si="120"/>
        <v>#DIV/0!</v>
      </c>
      <c r="J829" s="234"/>
      <c r="K829" s="337"/>
      <c r="L829" s="162"/>
      <c r="M829" s="201"/>
      <c r="N829" s="164"/>
      <c r="O829" s="618">
        <f t="shared" si="118"/>
        <v>360</v>
      </c>
      <c r="P829" s="258" t="e">
        <f t="shared" si="115"/>
        <v>#DIV/0!</v>
      </c>
      <c r="Q829" s="252" t="e">
        <f t="shared" si="116"/>
        <v>#DIV/0!</v>
      </c>
      <c r="R829" s="163"/>
      <c r="S829" s="163"/>
      <c r="T829" s="163"/>
      <c r="U829" s="163"/>
      <c r="V829" s="164"/>
      <c r="W829" s="165"/>
      <c r="X829" s="166"/>
      <c r="Z829" s="156"/>
    </row>
    <row r="830" spans="1:27" s="155" customFormat="1" ht="15" customHeight="1">
      <c r="A830" s="215"/>
      <c r="B830" s="213" t="s">
        <v>995</v>
      </c>
      <c r="C830" s="488"/>
      <c r="D830" s="201"/>
      <c r="E830" s="201"/>
      <c r="F830" s="201"/>
      <c r="G830" s="201"/>
      <c r="H830" s="201" t="e">
        <f t="shared" si="120"/>
        <v>#DIV/0!</v>
      </c>
      <c r="I830" s="268" t="e">
        <f t="shared" si="120"/>
        <v>#DIV/0!</v>
      </c>
      <c r="J830" s="234"/>
      <c r="K830" s="337"/>
      <c r="L830" s="162"/>
      <c r="M830" s="201"/>
      <c r="N830" s="164"/>
      <c r="O830" s="618">
        <f t="shared" si="118"/>
        <v>360</v>
      </c>
      <c r="P830" s="258" t="e">
        <f t="shared" si="115"/>
        <v>#DIV/0!</v>
      </c>
      <c r="Q830" s="252" t="e">
        <f t="shared" si="116"/>
        <v>#DIV/0!</v>
      </c>
      <c r="R830" s="163"/>
      <c r="S830" s="163"/>
      <c r="T830" s="163"/>
      <c r="U830" s="163"/>
      <c r="V830" s="164"/>
      <c r="W830" s="165"/>
      <c r="X830" s="166"/>
      <c r="Z830" s="156"/>
    </row>
    <row r="831" spans="1:27" s="155" customFormat="1" ht="15" customHeight="1">
      <c r="A831" s="215"/>
      <c r="B831" s="213" t="s">
        <v>996</v>
      </c>
      <c r="C831" s="488"/>
      <c r="D831" s="201"/>
      <c r="E831" s="201"/>
      <c r="F831" s="201"/>
      <c r="G831" s="201"/>
      <c r="H831" s="201" t="e">
        <f t="shared" si="120"/>
        <v>#DIV/0!</v>
      </c>
      <c r="I831" s="268" t="e">
        <f t="shared" si="120"/>
        <v>#DIV/0!</v>
      </c>
      <c r="J831" s="234"/>
      <c r="K831" s="337"/>
      <c r="L831" s="162"/>
      <c r="M831" s="201"/>
      <c r="N831" s="164"/>
      <c r="O831" s="618">
        <f t="shared" si="118"/>
        <v>360</v>
      </c>
      <c r="P831" s="258" t="e">
        <f t="shared" si="115"/>
        <v>#DIV/0!</v>
      </c>
      <c r="Q831" s="252" t="e">
        <f t="shared" si="116"/>
        <v>#DIV/0!</v>
      </c>
      <c r="R831" s="163"/>
      <c r="S831" s="163"/>
      <c r="T831" s="163"/>
      <c r="U831" s="163"/>
      <c r="V831" s="164"/>
      <c r="W831" s="165"/>
      <c r="X831" s="166"/>
      <c r="Z831" s="156"/>
    </row>
    <row r="832" spans="1:27" s="155" customFormat="1" ht="15" customHeight="1">
      <c r="A832" s="215"/>
      <c r="B832" s="213" t="s">
        <v>997</v>
      </c>
      <c r="C832" s="488"/>
      <c r="D832" s="201"/>
      <c r="E832" s="201"/>
      <c r="F832" s="201"/>
      <c r="G832" s="201"/>
      <c r="H832" s="201" t="e">
        <f t="shared" si="120"/>
        <v>#DIV/0!</v>
      </c>
      <c r="I832" s="268" t="e">
        <f t="shared" si="120"/>
        <v>#DIV/0!</v>
      </c>
      <c r="J832" s="234"/>
      <c r="K832" s="337"/>
      <c r="L832" s="162"/>
      <c r="M832" s="201"/>
      <c r="N832" s="164"/>
      <c r="O832" s="618">
        <f t="shared" si="118"/>
        <v>360</v>
      </c>
      <c r="P832" s="258" t="e">
        <f t="shared" si="115"/>
        <v>#DIV/0!</v>
      </c>
      <c r="Q832" s="252" t="e">
        <f t="shared" si="116"/>
        <v>#DIV/0!</v>
      </c>
      <c r="R832" s="163"/>
      <c r="S832" s="163"/>
      <c r="T832" s="163"/>
      <c r="U832" s="163"/>
      <c r="V832" s="164"/>
      <c r="W832" s="165"/>
      <c r="X832" s="166"/>
      <c r="Z832" s="156"/>
    </row>
    <row r="833" spans="1:28" s="155" customFormat="1" ht="15" customHeight="1">
      <c r="A833" s="215"/>
      <c r="B833" s="213" t="s">
        <v>998</v>
      </c>
      <c r="C833" s="488"/>
      <c r="D833" s="201"/>
      <c r="E833" s="201"/>
      <c r="F833" s="201"/>
      <c r="G833" s="201"/>
      <c r="H833" s="201" t="e">
        <f t="shared" si="120"/>
        <v>#DIV/0!</v>
      </c>
      <c r="I833" s="268" t="e">
        <f t="shared" si="120"/>
        <v>#DIV/0!</v>
      </c>
      <c r="J833" s="234"/>
      <c r="K833" s="337"/>
      <c r="L833" s="162"/>
      <c r="M833" s="201"/>
      <c r="N833" s="164"/>
      <c r="O833" s="618">
        <f t="shared" si="118"/>
        <v>360</v>
      </c>
      <c r="P833" s="258" t="e">
        <f t="shared" si="115"/>
        <v>#DIV/0!</v>
      </c>
      <c r="Q833" s="252" t="e">
        <f t="shared" si="116"/>
        <v>#DIV/0!</v>
      </c>
      <c r="R833" s="163"/>
      <c r="S833" s="163"/>
      <c r="T833" s="163"/>
      <c r="U833" s="163"/>
      <c r="V833" s="164"/>
      <c r="W833" s="165"/>
      <c r="X833" s="166"/>
      <c r="Z833" s="156"/>
    </row>
    <row r="834" spans="1:28" s="155" customFormat="1" ht="15" customHeight="1">
      <c r="A834" s="215"/>
      <c r="B834" s="213" t="s">
        <v>999</v>
      </c>
      <c r="C834" s="488"/>
      <c r="D834" s="201"/>
      <c r="E834" s="201"/>
      <c r="F834" s="201"/>
      <c r="G834" s="201"/>
      <c r="H834" s="201" t="e">
        <f t="shared" si="120"/>
        <v>#DIV/0!</v>
      </c>
      <c r="I834" s="268" t="e">
        <f t="shared" si="120"/>
        <v>#DIV/0!</v>
      </c>
      <c r="J834" s="234"/>
      <c r="K834" s="337"/>
      <c r="L834" s="162"/>
      <c r="M834" s="201"/>
      <c r="N834" s="164"/>
      <c r="O834" s="618">
        <f t="shared" si="118"/>
        <v>360</v>
      </c>
      <c r="P834" s="258" t="e">
        <f t="shared" si="115"/>
        <v>#DIV/0!</v>
      </c>
      <c r="Q834" s="252" t="e">
        <f t="shared" si="116"/>
        <v>#DIV/0!</v>
      </c>
      <c r="R834" s="163"/>
      <c r="S834" s="163"/>
      <c r="T834" s="163"/>
      <c r="U834" s="163"/>
      <c r="V834" s="164"/>
      <c r="W834" s="165"/>
      <c r="X834" s="166"/>
      <c r="Z834" s="156"/>
    </row>
    <row r="835" spans="1:28" s="155" customFormat="1" ht="15" customHeight="1">
      <c r="A835" s="215"/>
      <c r="B835" s="213" t="s">
        <v>1000</v>
      </c>
      <c r="C835" s="488"/>
      <c r="D835" s="201"/>
      <c r="E835" s="201"/>
      <c r="F835" s="201"/>
      <c r="G835" s="201"/>
      <c r="H835" s="201" t="e">
        <f t="shared" si="120"/>
        <v>#DIV/0!</v>
      </c>
      <c r="I835" s="268" t="e">
        <f t="shared" si="120"/>
        <v>#DIV/0!</v>
      </c>
      <c r="J835" s="234"/>
      <c r="K835" s="337"/>
      <c r="L835" s="162"/>
      <c r="M835" s="201"/>
      <c r="N835" s="164"/>
      <c r="O835" s="618">
        <f t="shared" si="118"/>
        <v>360</v>
      </c>
      <c r="P835" s="258" t="e">
        <f t="shared" si="115"/>
        <v>#DIV/0!</v>
      </c>
      <c r="Q835" s="252" t="e">
        <f t="shared" si="116"/>
        <v>#DIV/0!</v>
      </c>
      <c r="R835" s="163"/>
      <c r="S835" s="163"/>
      <c r="T835" s="163"/>
      <c r="U835" s="163"/>
      <c r="V835" s="164"/>
      <c r="W835" s="165"/>
      <c r="X835" s="166"/>
      <c r="Z835" s="156"/>
    </row>
    <row r="836" spans="1:28" s="155" customFormat="1" ht="15" customHeight="1">
      <c r="A836" s="215"/>
      <c r="B836" s="213" t="s">
        <v>1001</v>
      </c>
      <c r="C836" s="488"/>
      <c r="D836" s="201"/>
      <c r="E836" s="201"/>
      <c r="F836" s="201"/>
      <c r="G836" s="201"/>
      <c r="H836" s="201" t="e">
        <f t="shared" si="120"/>
        <v>#DIV/0!</v>
      </c>
      <c r="I836" s="268" t="e">
        <f t="shared" si="120"/>
        <v>#DIV/0!</v>
      </c>
      <c r="J836" s="234"/>
      <c r="K836" s="337"/>
      <c r="L836" s="162"/>
      <c r="M836" s="201"/>
      <c r="N836" s="164"/>
      <c r="O836" s="618">
        <f t="shared" si="118"/>
        <v>360</v>
      </c>
      <c r="P836" s="258" t="e">
        <f t="shared" si="115"/>
        <v>#DIV/0!</v>
      </c>
      <c r="Q836" s="252" t="e">
        <f t="shared" si="116"/>
        <v>#DIV/0!</v>
      </c>
      <c r="R836" s="163"/>
      <c r="S836" s="163"/>
      <c r="T836" s="163"/>
      <c r="U836" s="163"/>
      <c r="V836" s="164"/>
      <c r="W836" s="165"/>
      <c r="X836" s="166"/>
      <c r="Z836" s="156"/>
    </row>
    <row r="837" spans="1:28" s="155" customFormat="1" ht="15" customHeight="1">
      <c r="A837" s="215"/>
      <c r="B837" s="213" t="s">
        <v>1002</v>
      </c>
      <c r="C837" s="488"/>
      <c r="D837" s="201"/>
      <c r="E837" s="201"/>
      <c r="F837" s="201"/>
      <c r="G837" s="201"/>
      <c r="H837" s="201" t="e">
        <f t="shared" si="120"/>
        <v>#DIV/0!</v>
      </c>
      <c r="I837" s="268" t="e">
        <f t="shared" si="120"/>
        <v>#DIV/0!</v>
      </c>
      <c r="J837" s="234"/>
      <c r="K837" s="337"/>
      <c r="L837" s="162"/>
      <c r="M837" s="201"/>
      <c r="N837" s="164"/>
      <c r="O837" s="618">
        <f t="shared" si="118"/>
        <v>360</v>
      </c>
      <c r="P837" s="258" t="e">
        <f t="shared" si="115"/>
        <v>#DIV/0!</v>
      </c>
      <c r="Q837" s="252" t="e">
        <f t="shared" si="116"/>
        <v>#DIV/0!</v>
      </c>
      <c r="R837" s="163"/>
      <c r="S837" s="163"/>
      <c r="T837" s="163"/>
      <c r="U837" s="163"/>
      <c r="V837" s="164"/>
      <c r="W837" s="165"/>
      <c r="X837" s="166"/>
      <c r="Z837" s="156"/>
    </row>
    <row r="838" spans="1:28" s="155" customFormat="1" ht="15" customHeight="1">
      <c r="A838" s="215"/>
      <c r="B838" s="213" t="s">
        <v>1003</v>
      </c>
      <c r="C838" s="488"/>
      <c r="D838" s="201"/>
      <c r="E838" s="201"/>
      <c r="F838" s="201"/>
      <c r="G838" s="201"/>
      <c r="H838" s="201" t="e">
        <f t="shared" si="120"/>
        <v>#DIV/0!</v>
      </c>
      <c r="I838" s="268" t="e">
        <f t="shared" si="120"/>
        <v>#DIV/0!</v>
      </c>
      <c r="J838" s="234"/>
      <c r="K838" s="337"/>
      <c r="L838" s="162"/>
      <c r="M838" s="201"/>
      <c r="N838" s="164"/>
      <c r="O838" s="618">
        <f t="shared" si="118"/>
        <v>360</v>
      </c>
      <c r="P838" s="258" t="e">
        <f t="shared" si="115"/>
        <v>#DIV/0!</v>
      </c>
      <c r="Q838" s="252" t="e">
        <f t="shared" si="116"/>
        <v>#DIV/0!</v>
      </c>
      <c r="R838" s="163"/>
      <c r="S838" s="163"/>
      <c r="T838" s="163"/>
      <c r="U838" s="163"/>
      <c r="V838" s="164"/>
      <c r="W838" s="165"/>
      <c r="X838" s="166"/>
      <c r="Z838" s="156"/>
    </row>
    <row r="839" spans="1:28" s="155" customFormat="1" ht="15" customHeight="1">
      <c r="A839" s="215"/>
      <c r="B839" s="213" t="s">
        <v>1004</v>
      </c>
      <c r="C839" s="488"/>
      <c r="D839" s="201"/>
      <c r="E839" s="201"/>
      <c r="F839" s="201"/>
      <c r="G839" s="201"/>
      <c r="H839" s="201" t="e">
        <f t="shared" si="120"/>
        <v>#DIV/0!</v>
      </c>
      <c r="I839" s="268" t="e">
        <f t="shared" si="120"/>
        <v>#DIV/0!</v>
      </c>
      <c r="J839" s="234"/>
      <c r="K839" s="337"/>
      <c r="L839" s="162"/>
      <c r="M839" s="201"/>
      <c r="N839" s="164"/>
      <c r="O839" s="618">
        <f t="shared" si="118"/>
        <v>360</v>
      </c>
      <c r="P839" s="258" t="e">
        <f t="shared" si="115"/>
        <v>#DIV/0!</v>
      </c>
      <c r="Q839" s="252" t="e">
        <f t="shared" si="116"/>
        <v>#DIV/0!</v>
      </c>
      <c r="R839" s="163"/>
      <c r="S839" s="163"/>
      <c r="T839" s="163"/>
      <c r="U839" s="163"/>
      <c r="V839" s="164"/>
      <c r="W839" s="165"/>
      <c r="X839" s="166"/>
      <c r="Z839" s="156"/>
      <c r="AA839" s="156"/>
    </row>
    <row r="840" spans="1:28" s="155" customFormat="1" ht="15" customHeight="1">
      <c r="A840" s="215"/>
      <c r="B840" s="213" t="s">
        <v>1005</v>
      </c>
      <c r="C840" s="488"/>
      <c r="D840" s="201"/>
      <c r="E840" s="201"/>
      <c r="F840" s="201"/>
      <c r="G840" s="201"/>
      <c r="H840" s="201" t="e">
        <f t="shared" si="120"/>
        <v>#DIV/0!</v>
      </c>
      <c r="I840" s="268" t="e">
        <f t="shared" si="120"/>
        <v>#DIV/0!</v>
      </c>
      <c r="J840" s="234"/>
      <c r="K840" s="337"/>
      <c r="L840" s="162"/>
      <c r="M840" s="201"/>
      <c r="N840" s="164"/>
      <c r="O840" s="618">
        <f t="shared" si="118"/>
        <v>360</v>
      </c>
      <c r="P840" s="258" t="e">
        <f t="shared" si="115"/>
        <v>#DIV/0!</v>
      </c>
      <c r="Q840" s="252" t="e">
        <f t="shared" si="116"/>
        <v>#DIV/0!</v>
      </c>
      <c r="R840" s="163"/>
      <c r="S840" s="163"/>
      <c r="T840" s="163"/>
      <c r="U840" s="163"/>
      <c r="V840" s="164"/>
      <c r="W840" s="165"/>
      <c r="X840" s="166"/>
      <c r="Z840" s="156"/>
      <c r="AA840" s="156"/>
    </row>
    <row r="841" spans="1:28" s="155" customFormat="1" ht="15" customHeight="1">
      <c r="A841" s="215"/>
      <c r="B841" s="213" t="s">
        <v>1006</v>
      </c>
      <c r="C841" s="488"/>
      <c r="D841" s="201"/>
      <c r="E841" s="201"/>
      <c r="F841" s="201"/>
      <c r="G841" s="201"/>
      <c r="H841" s="201" t="e">
        <f t="shared" si="120"/>
        <v>#DIV/0!</v>
      </c>
      <c r="I841" s="268" t="e">
        <f t="shared" si="120"/>
        <v>#DIV/0!</v>
      </c>
      <c r="J841" s="234"/>
      <c r="K841" s="337"/>
      <c r="L841" s="162"/>
      <c r="M841" s="201"/>
      <c r="N841" s="164"/>
      <c r="O841" s="618">
        <f t="shared" si="118"/>
        <v>360</v>
      </c>
      <c r="P841" s="258" t="e">
        <f t="shared" si="115"/>
        <v>#DIV/0!</v>
      </c>
      <c r="Q841" s="252" t="e">
        <f t="shared" si="116"/>
        <v>#DIV/0!</v>
      </c>
      <c r="R841" s="163"/>
      <c r="S841" s="163"/>
      <c r="T841" s="163"/>
      <c r="U841" s="163"/>
      <c r="V841" s="164"/>
      <c r="W841" s="165"/>
      <c r="X841" s="166"/>
      <c r="Z841" s="156"/>
      <c r="AA841" s="156"/>
    </row>
    <row r="842" spans="1:28" s="155" customFormat="1" ht="15" customHeight="1">
      <c r="A842" s="215"/>
      <c r="B842" s="213" t="s">
        <v>1007</v>
      </c>
      <c r="C842" s="488"/>
      <c r="D842" s="201"/>
      <c r="E842" s="201"/>
      <c r="F842" s="201"/>
      <c r="G842" s="201"/>
      <c r="H842" s="201" t="e">
        <f t="shared" si="120"/>
        <v>#DIV/0!</v>
      </c>
      <c r="I842" s="268" t="e">
        <f t="shared" si="120"/>
        <v>#DIV/0!</v>
      </c>
      <c r="J842" s="234"/>
      <c r="K842" s="337"/>
      <c r="L842" s="162"/>
      <c r="M842" s="201"/>
      <c r="N842" s="164"/>
      <c r="O842" s="618">
        <f t="shared" si="118"/>
        <v>360</v>
      </c>
      <c r="P842" s="258" t="e">
        <f t="shared" si="115"/>
        <v>#DIV/0!</v>
      </c>
      <c r="Q842" s="252" t="e">
        <f t="shared" si="116"/>
        <v>#DIV/0!</v>
      </c>
      <c r="R842" s="163"/>
      <c r="S842" s="163"/>
      <c r="T842" s="163"/>
      <c r="U842" s="163"/>
      <c r="V842" s="164"/>
      <c r="W842" s="165"/>
      <c r="X842" s="166"/>
      <c r="Z842" s="156"/>
      <c r="AA842" s="156"/>
    </row>
    <row r="843" spans="1:28" s="155" customFormat="1" ht="15" customHeight="1">
      <c r="A843" s="215"/>
      <c r="B843" s="213" t="s">
        <v>1008</v>
      </c>
      <c r="C843" s="488"/>
      <c r="D843" s="201"/>
      <c r="E843" s="201"/>
      <c r="F843" s="201"/>
      <c r="G843" s="201"/>
      <c r="H843" s="201" t="e">
        <f t="shared" si="120"/>
        <v>#DIV/0!</v>
      </c>
      <c r="I843" s="268" t="e">
        <f t="shared" si="120"/>
        <v>#DIV/0!</v>
      </c>
      <c r="J843" s="234"/>
      <c r="K843" s="337"/>
      <c r="L843" s="162"/>
      <c r="M843" s="201"/>
      <c r="N843" s="164"/>
      <c r="O843" s="618">
        <f t="shared" si="118"/>
        <v>360</v>
      </c>
      <c r="P843" s="258" t="e">
        <f t="shared" si="115"/>
        <v>#DIV/0!</v>
      </c>
      <c r="Q843" s="252" t="e">
        <f t="shared" si="116"/>
        <v>#DIV/0!</v>
      </c>
      <c r="R843" s="163"/>
      <c r="S843" s="163"/>
      <c r="T843" s="163"/>
      <c r="U843" s="163"/>
      <c r="V843" s="164"/>
      <c r="W843" s="165"/>
      <c r="X843" s="166"/>
      <c r="Z843" s="156"/>
      <c r="AA843" s="156"/>
    </row>
    <row r="844" spans="1:28" s="155" customFormat="1" ht="15" customHeight="1" thickBot="1">
      <c r="A844" s="215"/>
      <c r="B844" s="213" t="s">
        <v>1009</v>
      </c>
      <c r="C844" s="488"/>
      <c r="D844" s="201"/>
      <c r="E844" s="201"/>
      <c r="F844" s="201"/>
      <c r="G844" s="201"/>
      <c r="H844" s="201" t="e">
        <f>H843</f>
        <v>#DIV/0!</v>
      </c>
      <c r="I844" s="268" t="e">
        <f>I843</f>
        <v>#DIV/0!</v>
      </c>
      <c r="J844" s="627"/>
      <c r="K844" s="628"/>
      <c r="L844" s="162"/>
      <c r="M844" s="201"/>
      <c r="N844" s="164"/>
      <c r="O844" s="619">
        <f>O843</f>
        <v>360</v>
      </c>
      <c r="P844" s="258" t="e">
        <f t="shared" si="115"/>
        <v>#DIV/0!</v>
      </c>
      <c r="Q844" s="252" t="e">
        <f t="shared" si="116"/>
        <v>#DIV/0!</v>
      </c>
      <c r="R844" s="163"/>
      <c r="S844" s="163"/>
      <c r="T844" s="163"/>
      <c r="U844" s="163"/>
      <c r="V844" s="164"/>
      <c r="W844" s="165"/>
      <c r="X844" s="166"/>
      <c r="Z844" s="156"/>
      <c r="AA844" s="156"/>
    </row>
    <row r="845" spans="1:28" s="186" customFormat="1" ht="15" customHeight="1">
      <c r="A845" s="215"/>
      <c r="B845" s="210"/>
      <c r="C845" s="298"/>
      <c r="D845" s="195"/>
      <c r="E845" s="135"/>
      <c r="F845" s="135"/>
      <c r="G845" s="135"/>
      <c r="H845" s="135"/>
      <c r="I845" s="232"/>
      <c r="J845" s="232"/>
      <c r="K845" s="232"/>
      <c r="L845" s="195"/>
      <c r="M845" s="195"/>
      <c r="N845" s="195"/>
      <c r="O845" s="144"/>
      <c r="P845" s="195"/>
      <c r="Q845" s="195"/>
      <c r="R845" s="195"/>
      <c r="S845" s="195"/>
      <c r="T845" s="195"/>
      <c r="U845" s="195"/>
      <c r="V845" s="197"/>
      <c r="W845" s="185"/>
      <c r="X845" s="141"/>
      <c r="Z845" s="187"/>
      <c r="AA845" s="155"/>
      <c r="AB845" s="155"/>
    </row>
    <row r="846" spans="1:28" s="186" customFormat="1" ht="15" customHeight="1">
      <c r="A846" s="215"/>
      <c r="B846" s="210"/>
      <c r="C846" s="298"/>
      <c r="D846" s="195"/>
      <c r="E846" s="135"/>
      <c r="F846" s="135"/>
      <c r="G846" s="135"/>
      <c r="H846" s="135"/>
      <c r="I846" s="232"/>
      <c r="J846" s="232"/>
      <c r="K846" s="232"/>
      <c r="L846" s="195"/>
      <c r="M846" s="195"/>
      <c r="N846" s="195"/>
      <c r="O846" s="144"/>
      <c r="P846" s="195"/>
      <c r="Q846" s="195"/>
      <c r="R846" s="195"/>
      <c r="S846" s="195"/>
      <c r="T846" s="195"/>
      <c r="U846" s="195"/>
      <c r="V846" s="197"/>
      <c r="W846" s="185"/>
      <c r="X846" s="141"/>
      <c r="Z846" s="187"/>
      <c r="AA846" s="155"/>
      <c r="AB846" s="155"/>
    </row>
    <row r="847" spans="1:28" s="186" customFormat="1" ht="15" customHeight="1" thickBot="1">
      <c r="A847" s="215"/>
      <c r="B847" s="279" t="s">
        <v>1010</v>
      </c>
      <c r="C847" s="280"/>
      <c r="D847" s="281"/>
      <c r="E847" s="281"/>
      <c r="F847" s="281"/>
      <c r="G847" s="281"/>
      <c r="H847" s="281"/>
      <c r="I847" s="281"/>
      <c r="J847" s="282"/>
      <c r="K847" s="282"/>
      <c r="L847" s="283"/>
      <c r="M847" s="281"/>
      <c r="N847" s="281"/>
      <c r="O847" s="281"/>
      <c r="P847" s="281"/>
      <c r="Q847" s="281"/>
      <c r="R847" s="281"/>
      <c r="S847" s="284"/>
      <c r="T847" s="281"/>
      <c r="U847" s="281" t="s">
        <v>678</v>
      </c>
      <c r="V847" s="285" t="s">
        <v>27</v>
      </c>
      <c r="W847" s="286"/>
      <c r="X847" s="287"/>
      <c r="Z847" s="187"/>
      <c r="AA847" s="155"/>
      <c r="AB847" s="155"/>
    </row>
    <row r="848" spans="1:28" s="186" customFormat="1" ht="15" customHeight="1" thickBot="1">
      <c r="A848" s="215"/>
      <c r="B848" s="210"/>
      <c r="C848" s="133">
        <f>SUMIF(Densidades!A:A,'Memória TOTAL'!X848,Densidades!B:B)</f>
        <v>0</v>
      </c>
      <c r="D848" s="134">
        <f>SUMIF(Densidades!A:A,'Memória TOTAL'!X848,Densidades!C:C)</f>
        <v>0</v>
      </c>
      <c r="E848" s="134" t="str">
        <f>IF(I848=15,"FIRECLAY MORTAR",IF(I848=16,"ALUMINA MORTAR",IF(I848=17,"BASIC MORTAR",IF(I848=18,"MORTAR","-"))))</f>
        <v>-</v>
      </c>
      <c r="F848" s="134" t="str">
        <f>IF(I848=15,"FIRECLAY MORTAR",IF(I848=16,"ALUMINA MORTAR",IF(I848=17,"BASIC MORTAR",IF(I848=18,"MORTAR","-"))))</f>
        <v>-</v>
      </c>
      <c r="G848" s="134" t="str">
        <f>IF(I848=15,"FIRECLAY MORTAR",IF(I848=16,"ALUMINA MORTAR",IF(I848=17,"BASIC MORTAR",IF(I848=18,"MORTAR","-"))))</f>
        <v>-</v>
      </c>
      <c r="H848" s="134" t="str">
        <f>IF(I848=15,"FIRECLAY MORTAR",IF(I848=16,"ALUMINA MORTAR",IF(I848=17,"BASIC MORTAR",IF(I848=18,"MORTAR","-"))))</f>
        <v>-</v>
      </c>
      <c r="I848" s="134">
        <f>SUMIF(Densidades!A:A,'Memória TOTAL'!X848,Densidades!G:G)</f>
        <v>0</v>
      </c>
      <c r="J848" s="136">
        <f>SUMIF(Formatos!A:A,'Memória TOTAL'!X849,Formatos!G:G)</f>
        <v>0</v>
      </c>
      <c r="K848" s="137">
        <f>SUMIF(Densidades!A:A,'Memória TOTAL'!X848,Densidades!I:I)</f>
        <v>0</v>
      </c>
      <c r="L848" s="188">
        <v>0</v>
      </c>
      <c r="M848" s="189"/>
      <c r="N848" s="189"/>
      <c r="O848" s="189"/>
      <c r="P848" s="189"/>
      <c r="Q848" s="189"/>
      <c r="R848" s="189"/>
      <c r="S848" s="189"/>
      <c r="T848" s="190"/>
      <c r="U848" s="290">
        <v>0.06</v>
      </c>
      <c r="V848" s="192" t="e">
        <f>(W785*J785*C848+W789*J789*C848)*U848</f>
        <v>#VALUE!</v>
      </c>
      <c r="W848" s="193" t="str">
        <f>IF(C848=0,"",ROUNDUP(SUM(V848:V849)*(1+L848)/D848,2)*D848)</f>
        <v/>
      </c>
      <c r="X848" s="263"/>
      <c r="Z848" s="187"/>
      <c r="AA848" s="155"/>
      <c r="AB848" s="155"/>
    </row>
    <row r="849" spans="1:28" s="186" customFormat="1" ht="15" customHeight="1">
      <c r="A849" s="215"/>
      <c r="B849" s="210"/>
      <c r="C849" s="133"/>
      <c r="D849" s="195"/>
      <c r="E849" s="195"/>
      <c r="F849" s="195"/>
      <c r="G849" s="195"/>
      <c r="H849" s="195"/>
      <c r="I849" s="195"/>
      <c r="J849" s="196"/>
      <c r="K849" s="196"/>
      <c r="L849" s="144"/>
      <c r="M849" s="195"/>
      <c r="N849" s="195"/>
      <c r="O849" s="195"/>
      <c r="P849" s="195"/>
      <c r="Q849" s="195"/>
      <c r="R849" s="195"/>
      <c r="S849" s="195"/>
      <c r="T849" s="195"/>
      <c r="U849" s="195"/>
      <c r="V849" s="197"/>
      <c r="W849" s="185"/>
      <c r="X849" s="141" t="str">
        <f>IF(AND(H848="-",G848="-",F848="-"),E848,IF(AND(H848="-",G848="-",E848="-"),F848,IF(AND(H848="-",F848="-",E848="-"),G848,H848)))</f>
        <v>-</v>
      </c>
      <c r="Z849" s="187"/>
      <c r="AA849" s="155"/>
      <c r="AB849" s="155"/>
    </row>
    <row r="850" spans="1:28" s="186" customFormat="1" ht="15" customHeight="1">
      <c r="A850" s="215"/>
      <c r="B850" s="213"/>
      <c r="C850" s="133"/>
      <c r="D850" s="195"/>
      <c r="E850" s="195"/>
      <c r="F850" s="195"/>
      <c r="G850" s="195"/>
      <c r="H850" s="195"/>
      <c r="I850" s="195"/>
      <c r="J850" s="196"/>
      <c r="K850" s="196"/>
      <c r="L850" s="144"/>
      <c r="M850" s="195"/>
      <c r="N850" s="195"/>
      <c r="O850" s="195"/>
      <c r="P850" s="195"/>
      <c r="Q850" s="195"/>
      <c r="R850" s="195"/>
      <c r="S850" s="195"/>
      <c r="T850" s="195"/>
      <c r="U850" s="195"/>
      <c r="V850" s="197"/>
      <c r="W850" s="185"/>
      <c r="X850" s="141" t="s">
        <v>2</v>
      </c>
      <c r="Z850" s="187"/>
      <c r="AA850" s="156"/>
      <c r="AB850" s="155"/>
    </row>
    <row r="851" spans="1:28" ht="15" customHeight="1">
      <c r="A851" s="215"/>
      <c r="B851" s="131"/>
      <c r="C851" s="169"/>
      <c r="D851" s="170"/>
      <c r="E851" s="170"/>
      <c r="F851" s="170"/>
      <c r="G851" s="170"/>
      <c r="H851" s="170"/>
      <c r="I851" s="170"/>
      <c r="J851" s="171"/>
      <c r="K851" s="171"/>
      <c r="L851" s="172"/>
      <c r="M851" s="170"/>
      <c r="N851" s="170"/>
      <c r="O851" s="170"/>
      <c r="P851" s="170"/>
      <c r="Q851" s="170"/>
      <c r="R851" s="170"/>
      <c r="S851" s="170"/>
      <c r="T851" s="170"/>
      <c r="U851" s="170"/>
      <c r="V851" s="173"/>
      <c r="W851" s="174"/>
      <c r="X851" s="175"/>
    </row>
    <row r="852" spans="1:28" s="186" customFormat="1" ht="15" customHeight="1" thickBot="1">
      <c r="A852" s="215"/>
      <c r="B852" s="279" t="s">
        <v>1011</v>
      </c>
      <c r="C852" s="280"/>
      <c r="D852" s="281"/>
      <c r="E852" s="281"/>
      <c r="F852" s="281"/>
      <c r="G852" s="281"/>
      <c r="H852" s="281"/>
      <c r="I852" s="281"/>
      <c r="J852" s="282"/>
      <c r="K852" s="282"/>
      <c r="L852" s="283"/>
      <c r="M852" s="281"/>
      <c r="N852" s="281"/>
      <c r="O852" s="281"/>
      <c r="P852" s="281"/>
      <c r="Q852" s="281"/>
      <c r="R852" s="281" t="s">
        <v>636</v>
      </c>
      <c r="S852" s="284" t="s">
        <v>637</v>
      </c>
      <c r="T852" s="281" t="s">
        <v>638</v>
      </c>
      <c r="U852" s="281" t="s">
        <v>38</v>
      </c>
      <c r="V852" s="285" t="s">
        <v>27</v>
      </c>
      <c r="W852" s="286"/>
      <c r="X852" s="287"/>
      <c r="Z852" s="187"/>
      <c r="AA852" s="187"/>
    </row>
    <row r="853" spans="1:28" s="186" customFormat="1" ht="15" customHeight="1" thickBot="1">
      <c r="A853" s="215"/>
      <c r="B853" s="210"/>
      <c r="C853" s="133">
        <f>SUMIF(Densidades!A:A,'Memória TOTAL'!X853,Densidades!B:B)</f>
        <v>0</v>
      </c>
      <c r="D853" s="134">
        <f>SUMIF(Densidades!A:A,'Memória TOTAL'!X853,Densidades!C:C)</f>
        <v>0</v>
      </c>
      <c r="E853" s="134" t="str">
        <f>IF(I853=15,"FIRECLAY MORTAR",IF(I853=16,"ALUMINA MORTAR",IF(I853=17,"BASIC MORTAR",IF(I853=18,"MORTAR","-"))))</f>
        <v>-</v>
      </c>
      <c r="F853" s="134" t="str">
        <f>IF(I853=15,"FIRECLAY MORTAR",IF(I853=16,"ALUMINA MORTAR",IF(I853=17,"BASIC MORTAR",IF(I853=18,"MORTAR","-"))))</f>
        <v>-</v>
      </c>
      <c r="G853" s="134" t="str">
        <f>IF(I853=15,"FIRECLAY MORTAR",IF(I853=16,"ALUMINA MORTAR",IF(I853=17,"BASIC MORTAR",IF(I853=18,"MORTAR","-"))))</f>
        <v>-</v>
      </c>
      <c r="H853" s="134" t="str">
        <f>IF(I853=15,"FIRECLAY MORTAR",IF(I853=16,"ALUMINA MORTAR",IF(I853=17,"BASIC MORTAR",IF(I853=18,"MORTAR","-"))))</f>
        <v>-</v>
      </c>
      <c r="I853" s="134">
        <f>SUMIF(Densidades!A:A,'Memória TOTAL'!X853,Densidades!G:G)</f>
        <v>0</v>
      </c>
      <c r="J853" s="136">
        <f>SUMIF(Formatos!A:A,'Memória TOTAL'!X854,Formatos!G:G)</f>
        <v>0</v>
      </c>
      <c r="K853" s="222">
        <f>SUMIF(Densidades!A:A,'Memória TOTAL'!X853,Densidades!I:I)</f>
        <v>0</v>
      </c>
      <c r="L853" s="188">
        <v>0</v>
      </c>
      <c r="M853" s="189"/>
      <c r="N853" s="189"/>
      <c r="O853" s="189"/>
      <c r="P853" s="189"/>
      <c r="Q853" s="189"/>
      <c r="R853" s="190">
        <f>((G785*H785)+(G785*E785)+(H785*E785))/1000000</f>
        <v>0</v>
      </c>
      <c r="S853" s="259">
        <v>2</v>
      </c>
      <c r="T853" s="190">
        <f>R853*S853</f>
        <v>0</v>
      </c>
      <c r="U853" s="191">
        <f>SUM(W785:W790)</f>
        <v>0</v>
      </c>
      <c r="V853" s="192">
        <f>(T853*C853*(1+L853))*U853</f>
        <v>0</v>
      </c>
      <c r="W853" s="140" t="str">
        <f>IF(C853=0,"",ROUNDUP(SUM(V853:V854)*(1+L853)/D853,2)*D853)</f>
        <v/>
      </c>
      <c r="X853" s="263"/>
      <c r="Z853" s="187"/>
      <c r="AA853" s="187"/>
    </row>
    <row r="854" spans="1:28" s="186" customFormat="1" ht="15" customHeight="1">
      <c r="A854" s="215"/>
      <c r="B854" s="210"/>
      <c r="C854" s="133"/>
      <c r="D854" s="195"/>
      <c r="E854" s="195"/>
      <c r="F854" s="195"/>
      <c r="G854" s="195"/>
      <c r="H854" s="195"/>
      <c r="I854" s="195"/>
      <c r="J854" s="196"/>
      <c r="K854" s="196"/>
      <c r="L854" s="144"/>
      <c r="M854" s="195"/>
      <c r="N854" s="195"/>
      <c r="O854" s="195"/>
      <c r="P854" s="195"/>
      <c r="Q854" s="195"/>
      <c r="R854" s="195"/>
      <c r="S854" s="195"/>
      <c r="T854" s="195"/>
      <c r="U854" s="195"/>
      <c r="V854" s="197"/>
      <c r="W854" s="185"/>
      <c r="X854" s="141" t="str">
        <f>IF(AND(H853="-",G853="-",F853="-"),E853,IF(AND(H853="-",G853="-",E853="-"),F853,IF(AND(H853="-",F853="-",E853="-"),G853,H853)))</f>
        <v>-</v>
      </c>
      <c r="Z854" s="187"/>
      <c r="AA854" s="187"/>
    </row>
    <row r="855" spans="1:28" s="186" customFormat="1" ht="15" customHeight="1">
      <c r="A855" s="215"/>
      <c r="B855" s="213"/>
      <c r="C855" s="133"/>
      <c r="D855" s="195"/>
      <c r="E855" s="195"/>
      <c r="F855" s="195"/>
      <c r="G855" s="195"/>
      <c r="H855" s="195"/>
      <c r="I855" s="195"/>
      <c r="J855" s="196"/>
      <c r="K855" s="196"/>
      <c r="L855" s="144"/>
      <c r="M855" s="195"/>
      <c r="N855" s="195"/>
      <c r="O855" s="195"/>
      <c r="P855" s="195"/>
      <c r="Q855" s="195"/>
      <c r="R855" s="195"/>
      <c r="S855" s="195"/>
      <c r="T855" s="195"/>
      <c r="U855" s="195"/>
      <c r="V855" s="197"/>
      <c r="W855" s="185"/>
      <c r="X855" s="141" t="s">
        <v>2</v>
      </c>
      <c r="Z855" s="187"/>
      <c r="AA855" s="187"/>
    </row>
    <row r="856" spans="1:28" s="186" customFormat="1" ht="15" customHeight="1">
      <c r="A856" s="215"/>
      <c r="B856" s="213"/>
      <c r="C856" s="133"/>
      <c r="D856" s="195"/>
      <c r="E856" s="195"/>
      <c r="F856" s="195"/>
      <c r="G856" s="195"/>
      <c r="H856" s="195"/>
      <c r="I856" s="195"/>
      <c r="J856" s="196"/>
      <c r="K856" s="196"/>
      <c r="L856" s="144"/>
      <c r="M856" s="195"/>
      <c r="N856" s="195"/>
      <c r="O856" s="195"/>
      <c r="P856" s="195"/>
      <c r="Q856" s="195"/>
      <c r="R856" s="195"/>
      <c r="S856" s="195"/>
      <c r="T856" s="195"/>
      <c r="U856" s="195"/>
      <c r="V856" s="197"/>
      <c r="W856" s="185"/>
      <c r="X856" s="141"/>
      <c r="Z856" s="187"/>
      <c r="AA856" s="187"/>
    </row>
    <row r="857" spans="1:28" s="186" customFormat="1" ht="15" customHeight="1" thickBot="1">
      <c r="A857" s="215"/>
      <c r="B857" s="509"/>
      <c r="C857" s="509"/>
      <c r="D857" s="512"/>
      <c r="E857" s="512"/>
      <c r="F857" s="512"/>
      <c r="G857" s="512"/>
      <c r="H857" s="512"/>
      <c r="I857" s="512"/>
      <c r="J857" s="512"/>
      <c r="K857" s="512"/>
      <c r="L857" s="512"/>
      <c r="M857" s="512"/>
      <c r="N857" s="512"/>
      <c r="O857" s="512"/>
      <c r="P857" s="512"/>
      <c r="Q857" s="512"/>
      <c r="R857" s="512"/>
      <c r="S857" s="512"/>
      <c r="T857" s="512"/>
      <c r="U857" s="512"/>
      <c r="V857" s="512"/>
      <c r="W857" s="512"/>
      <c r="X857" s="513"/>
      <c r="Y857" s="511"/>
      <c r="Z857" s="187"/>
      <c r="AA857" s="187"/>
    </row>
    <row r="858" spans="1:28" ht="15" customHeight="1" thickBot="1">
      <c r="A858" s="278"/>
      <c r="B858" s="502" t="str">
        <f>IF(X859="","COMPOSIÇÃO CONE 2 TIJOLOS",X859)</f>
        <v>COMPOSIÇÃO CONE 2 TIJOLOS</v>
      </c>
      <c r="C858" s="503" t="s">
        <v>101</v>
      </c>
      <c r="D858" s="504" t="s">
        <v>102</v>
      </c>
      <c r="E858" s="504" t="s">
        <v>42</v>
      </c>
      <c r="F858" s="504" t="s">
        <v>42</v>
      </c>
      <c r="G858" s="504" t="s">
        <v>43</v>
      </c>
      <c r="H858" s="504" t="s">
        <v>44</v>
      </c>
      <c r="I858" s="504" t="s">
        <v>47</v>
      </c>
      <c r="J858" s="504" t="s">
        <v>103</v>
      </c>
      <c r="K858" s="504" t="s">
        <v>37</v>
      </c>
      <c r="L858" s="504" t="s">
        <v>39</v>
      </c>
      <c r="M858" s="504" t="s">
        <v>45</v>
      </c>
      <c r="N858" s="504" t="s">
        <v>46</v>
      </c>
      <c r="O858" s="505" t="s">
        <v>106</v>
      </c>
      <c r="P858" s="504" t="s">
        <v>52</v>
      </c>
      <c r="Q858" s="505" t="s">
        <v>53</v>
      </c>
      <c r="R858" s="505" t="s">
        <v>104</v>
      </c>
      <c r="S858" s="504"/>
      <c r="T858" s="504"/>
      <c r="U858" s="504" t="s">
        <v>677</v>
      </c>
      <c r="V858" s="506" t="s">
        <v>27</v>
      </c>
      <c r="W858" s="507"/>
      <c r="X858" s="508"/>
    </row>
    <row r="859" spans="1:28" ht="15" customHeight="1" thickBot="1">
      <c r="A859" s="215"/>
      <c r="B859" s="783" t="s">
        <v>1832</v>
      </c>
      <c r="C859" s="245">
        <f>SUMIF(Densidades!A:A,'Memória TOTAL'!X859,Densidades!B:B)</f>
        <v>0</v>
      </c>
      <c r="D859" s="134">
        <f>SUMIF(Densidades!A:A,'Memória TOTAL'!X859,Densidades!C:C)</f>
        <v>0</v>
      </c>
      <c r="E859" s="135">
        <f>IF(AND(E865=1,E866=2),SUMIF(Formatos!A:A,'Memória TOTAL'!X860,Formatos!D:D),SUMIF(Formatos!A:A,'Memória TOTAL'!X860,Formatos!E:E))</f>
        <v>0</v>
      </c>
      <c r="F859" s="135">
        <f>IF(AND(E865=1,E866=2),SUMIF(Formatos!A:A,'Memória TOTAL'!X860,Formatos!R:R),SUMIF(Formatos!A:A,'Memória TOTAL'!X860,Formatos!F:F))</f>
        <v>0</v>
      </c>
      <c r="G859" s="135">
        <f>SUMIF(Formatos!A:A,'Memória TOTAL'!X860,Formatos!C:C)</f>
        <v>0</v>
      </c>
      <c r="H859" s="135">
        <f>IF(AND(E865=1,E866=2),SUMIF(Formatos!A:A,'Memória TOTAL'!X860,Formatos!E:E),SUMIF(Formatos!A:A,'Memória TOTAL'!X860,Formatos!D:D))</f>
        <v>0</v>
      </c>
      <c r="I859" s="135">
        <f>SUMIF(Densidades!A:A,'Memória TOTAL'!X859,Densidades!H:H)</f>
        <v>0</v>
      </c>
      <c r="J859" s="136">
        <f>SUMIF(Formatos!A:A,'Memória TOTAL'!X860,Formatos!G:G)</f>
        <v>0</v>
      </c>
      <c r="K859" s="137">
        <f>SUMIF(Densidades!A:A,'Memória TOTAL'!X859,Densidades!I:I)</f>
        <v>0</v>
      </c>
      <c r="L859" s="253">
        <v>0</v>
      </c>
      <c r="M859" s="609"/>
      <c r="N859" s="610"/>
      <c r="O859" s="610"/>
      <c r="P859" s="255"/>
      <c r="Q859" s="610"/>
      <c r="R859" s="613" t="s">
        <v>2189</v>
      </c>
      <c r="S859" s="612"/>
      <c r="T859" s="260"/>
      <c r="U859" s="500"/>
      <c r="V859" s="256" t="str">
        <f>IF(M859="","",IF(AND(OR(M859=E859,M859=G859,M859=H859),H859=H863),ROUND(SUM(P870:P920),0),"ESP. ERRADA"))</f>
        <v/>
      </c>
      <c r="W859" s="262" t="str">
        <f>IFERROR(IF(C859=0,"",ROUNDUP(SUM(V859)*(1+L859),0))*U859,"")</f>
        <v/>
      </c>
      <c r="X859" s="501"/>
    </row>
    <row r="860" spans="1:28" s="186" customFormat="1" ht="15" customHeight="1" thickBot="1">
      <c r="A860" s="215"/>
      <c r="B860" s="778"/>
      <c r="C860" s="236"/>
      <c r="D860" s="195"/>
      <c r="E860" s="195"/>
      <c r="F860" s="195"/>
      <c r="G860" s="195"/>
      <c r="H860" s="195"/>
      <c r="I860" s="195"/>
      <c r="J860" s="196"/>
      <c r="K860" s="196"/>
      <c r="L860" s="144"/>
      <c r="M860" s="195"/>
      <c r="N860" s="195"/>
      <c r="O860" s="195"/>
      <c r="P860" s="195"/>
      <c r="Q860" s="195"/>
      <c r="R860" s="195"/>
      <c r="S860" s="195"/>
      <c r="T860" s="195"/>
      <c r="U860" s="195"/>
      <c r="V860" s="197"/>
      <c r="W860" s="185"/>
      <c r="X860" s="141" t="str">
        <f>IF(B865="","",B865)</f>
        <v/>
      </c>
      <c r="Z860" s="187"/>
      <c r="AA860" s="187"/>
    </row>
    <row r="861" spans="1:28" s="186" customFormat="1" ht="15" customHeight="1">
      <c r="A861" s="215"/>
      <c r="B861" s="301"/>
      <c r="C861" s="236"/>
      <c r="D861" s="195"/>
      <c r="E861" s="195"/>
      <c r="F861" s="195"/>
      <c r="G861" s="195"/>
      <c r="H861" s="195"/>
      <c r="I861" s="195"/>
      <c r="J861" s="196"/>
      <c r="K861" s="196"/>
      <c r="L861" s="144"/>
      <c r="M861" s="195"/>
      <c r="N861" s="195"/>
      <c r="O861" s="195"/>
      <c r="P861" s="195"/>
      <c r="Q861" s="195"/>
      <c r="R861" s="195"/>
      <c r="S861" s="195"/>
      <c r="T861" s="195"/>
      <c r="U861" s="195"/>
      <c r="V861" s="197"/>
      <c r="W861" s="185"/>
      <c r="X861" s="141" t="s">
        <v>524</v>
      </c>
      <c r="Z861" s="187"/>
      <c r="AA861" s="187"/>
    </row>
    <row r="862" spans="1:28" s="186" customFormat="1" ht="15" customHeight="1" thickBot="1">
      <c r="A862" s="215"/>
      <c r="B862" s="301"/>
      <c r="C862" s="299" t="str">
        <f t="shared" ref="C862:L862" si="121">C858</f>
        <v>Dens.</v>
      </c>
      <c r="D862" s="182" t="str">
        <f t="shared" si="121"/>
        <v>Emb.</v>
      </c>
      <c r="E862" s="182" t="str">
        <f t="shared" si="121"/>
        <v>Esp. Tij.</v>
      </c>
      <c r="F862" s="182" t="str">
        <f t="shared" si="121"/>
        <v>Esp. Tij.</v>
      </c>
      <c r="G862" s="182" t="str">
        <f t="shared" si="121"/>
        <v>Comp. Tij.</v>
      </c>
      <c r="H862" s="182" t="str">
        <f t="shared" si="121"/>
        <v>Larg. Tij.</v>
      </c>
      <c r="I862" s="182" t="str">
        <f t="shared" si="121"/>
        <v>Tipo Fator</v>
      </c>
      <c r="J862" s="182" t="str">
        <f t="shared" si="121"/>
        <v>Vol.</v>
      </c>
      <c r="K862" s="182" t="str">
        <f t="shared" si="121"/>
        <v>Class.</v>
      </c>
      <c r="L862" s="182" t="str">
        <f t="shared" si="121"/>
        <v>Coefic. (%)</v>
      </c>
      <c r="M862" s="195"/>
      <c r="N862" s="195"/>
      <c r="O862" s="195"/>
      <c r="P862" s="195"/>
      <c r="Q862" s="195"/>
      <c r="R862" s="195"/>
      <c r="S862" s="195"/>
      <c r="T862" s="195"/>
      <c r="U862" s="195"/>
      <c r="V862" s="242"/>
      <c r="W862" s="185"/>
      <c r="X862" s="141"/>
      <c r="Z862" s="187"/>
      <c r="AA862" s="187"/>
    </row>
    <row r="863" spans="1:28" s="186" customFormat="1" ht="15" customHeight="1" thickBot="1">
      <c r="A863" s="215"/>
      <c r="B863" s="302"/>
      <c r="C863" s="245">
        <f>SUMIF(Densidades!A:A,'Memória TOTAL'!X863,Densidades!B:B)</f>
        <v>0</v>
      </c>
      <c r="D863" s="134">
        <f>SUMIF(Densidades!A:A,'Memória TOTAL'!X863,Densidades!C:C)</f>
        <v>620</v>
      </c>
      <c r="E863" s="135">
        <f>SUMIF(Formatos!A:A,'Memória TOTAL'!X864,Formatos!E:E)</f>
        <v>0</v>
      </c>
      <c r="F863" s="135">
        <f>SUMIF(Formatos!A:A,'Memória TOTAL'!X864,Formatos!F:F)</f>
        <v>0</v>
      </c>
      <c r="G863" s="135">
        <f>SUMIF(Formatos!A:A,'Memória TOTAL'!X864,Formatos!C:C)</f>
        <v>0</v>
      </c>
      <c r="H863" s="135">
        <f>SUMIF(Formatos!A:A,'Memória TOTAL'!X864,Formatos!D:D)</f>
        <v>0</v>
      </c>
      <c r="I863" s="135">
        <f>SUMIF(Densidades!A:A,'Memória TOTAL'!X863,Densidades!H:H)</f>
        <v>0</v>
      </c>
      <c r="J863" s="136">
        <f>SUMIF(Formatos!A:A,'Memória TOTAL'!X864,Formatos!G:G)</f>
        <v>0</v>
      </c>
      <c r="K863" s="222">
        <f>SUMIF(Densidades!A:A,'Memória TOTAL'!X863,Densidades!I:I)</f>
        <v>177</v>
      </c>
      <c r="L863" s="223">
        <v>0</v>
      </c>
      <c r="M863" s="195"/>
      <c r="N863" s="195"/>
      <c r="O863" s="195"/>
      <c r="P863" s="195"/>
      <c r="Q863" s="195"/>
      <c r="R863" s="195"/>
      <c r="S863" s="195"/>
      <c r="T863" s="232"/>
      <c r="U863" s="235"/>
      <c r="V863" s="256" t="str">
        <f>IF(M859="","",IF(AND(OR(M859=E863,M859=G863,M859=H863),H859=H863),ROUND(SUM(Q870:Q920),0),"ESP. ERRADA"))</f>
        <v/>
      </c>
      <c r="W863" s="267" t="str">
        <f>IFERROR(IF(C863=0,"",ROUNDUP(SUM(V863)*(1+L863),0))*U859,"")</f>
        <v/>
      </c>
      <c r="X863" s="141" t="str">
        <f>IF(X859="","",X859)</f>
        <v/>
      </c>
      <c r="Z863" s="187"/>
      <c r="AA863" s="187"/>
    </row>
    <row r="864" spans="1:28" s="186" customFormat="1" ht="15" customHeight="1" thickBot="1">
      <c r="A864" s="264"/>
      <c r="B864" s="247" t="s">
        <v>675</v>
      </c>
      <c r="C864" s="236"/>
      <c r="D864" s="195"/>
      <c r="E864" s="195"/>
      <c r="F864" s="195"/>
      <c r="G864" s="195"/>
      <c r="H864" s="195"/>
      <c r="I864" s="195"/>
      <c r="J864" s="196"/>
      <c r="K864" s="196"/>
      <c r="L864" s="144"/>
      <c r="M864" s="195"/>
      <c r="N864" s="195"/>
      <c r="O864" s="195"/>
      <c r="P864" s="195"/>
      <c r="Q864" s="195"/>
      <c r="R864" s="195"/>
      <c r="S864" s="195"/>
      <c r="T864" s="195"/>
      <c r="U864" s="195"/>
      <c r="V864" s="197"/>
      <c r="W864" s="185"/>
      <c r="X864" s="141" t="str">
        <f>IF(B866="","",B866)</f>
        <v/>
      </c>
      <c r="Z864" s="187"/>
      <c r="AA864" s="187"/>
    </row>
    <row r="865" spans="1:27" s="186" customFormat="1" ht="15" customHeight="1" thickBot="1">
      <c r="A865" s="264"/>
      <c r="B865" s="263"/>
      <c r="C865" s="243" t="s">
        <v>54</v>
      </c>
      <c r="D865" s="239"/>
      <c r="E865" s="195">
        <f>SUMIF(Formatos!A:A,'Memória TOTAL'!X860,Formatos!S:S)</f>
        <v>0</v>
      </c>
      <c r="F865" s="195"/>
      <c r="G865" s="195"/>
      <c r="H865" s="240"/>
      <c r="I865" s="240"/>
      <c r="J865" s="196"/>
      <c r="K865" s="196"/>
      <c r="L865" s="144"/>
      <c r="M865" s="195"/>
      <c r="N865" s="195"/>
      <c r="O865" s="149"/>
      <c r="P865" s="149"/>
      <c r="Q865" s="150"/>
      <c r="R865" s="149"/>
      <c r="S865" s="149"/>
      <c r="T865" s="195"/>
      <c r="U865" s="195"/>
      <c r="V865" s="197"/>
      <c r="W865" s="185"/>
      <c r="X865" s="141" t="s">
        <v>524</v>
      </c>
      <c r="Z865" s="187"/>
      <c r="AA865" s="187"/>
    </row>
    <row r="866" spans="1:27" s="186" customFormat="1" ht="15" customHeight="1" thickBot="1">
      <c r="A866" s="264"/>
      <c r="B866" s="263"/>
      <c r="C866" s="243" t="s">
        <v>55</v>
      </c>
      <c r="D866" s="239"/>
      <c r="E866" s="195">
        <f>SUMIF(Formatos!A:A,'Memória TOTAL'!X864,Formatos!S:S)</f>
        <v>0</v>
      </c>
      <c r="F866" s="195"/>
      <c r="G866" s="195"/>
      <c r="H866" s="240"/>
      <c r="I866" s="240"/>
      <c r="J866" s="196"/>
      <c r="K866" s="196"/>
      <c r="L866" s="144"/>
      <c r="M866" s="195"/>
      <c r="N866" s="195"/>
      <c r="O866" s="151"/>
      <c r="P866" s="151"/>
      <c r="Q866" s="157"/>
      <c r="R866" s="151"/>
      <c r="S866" s="151"/>
      <c r="T866" s="195"/>
      <c r="U866" s="195"/>
      <c r="V866" s="197"/>
      <c r="W866" s="231"/>
      <c r="X866" s="141"/>
      <c r="Z866" s="187"/>
      <c r="AA866" s="187"/>
    </row>
    <row r="867" spans="1:27" s="155" customFormat="1" ht="15" customHeight="1" thickBot="1">
      <c r="A867" s="248"/>
      <c r="B867" s="247" t="s">
        <v>676</v>
      </c>
      <c r="C867" s="236"/>
      <c r="D867" s="195"/>
      <c r="E867" s="195"/>
      <c r="F867" s="195"/>
      <c r="G867" s="195"/>
      <c r="H867" s="195"/>
      <c r="I867" s="195"/>
      <c r="J867" s="196"/>
      <c r="K867" s="196"/>
      <c r="L867" s="195"/>
      <c r="M867" s="195"/>
      <c r="N867" s="195"/>
      <c r="O867" s="195"/>
      <c r="P867" s="195"/>
      <c r="Q867" s="195"/>
      <c r="R867" s="195"/>
      <c r="S867" s="195"/>
      <c r="T867" s="151"/>
      <c r="U867" s="151"/>
      <c r="V867" s="152"/>
      <c r="W867" s="153"/>
      <c r="X867" s="154"/>
      <c r="Z867" s="156"/>
      <c r="AA867" s="156"/>
    </row>
    <row r="868" spans="1:27" s="155" customFormat="1" ht="15" customHeight="1" thickBot="1">
      <c r="A868" s="248"/>
      <c r="B868" s="779"/>
      <c r="C868" s="236"/>
      <c r="D868" s="195"/>
      <c r="E868" s="195"/>
      <c r="F868" s="195"/>
      <c r="G868" s="195"/>
      <c r="H868" s="195"/>
      <c r="I868" s="195"/>
      <c r="J868" s="196"/>
      <c r="K868" s="196"/>
      <c r="L868" s="195"/>
      <c r="M868" s="195"/>
      <c r="N868" s="195"/>
      <c r="O868" s="241"/>
      <c r="P868" s="195"/>
      <c r="Q868" s="195"/>
      <c r="R868" s="195"/>
      <c r="S868" s="781" t="s">
        <v>1074</v>
      </c>
      <c r="T868" s="782"/>
      <c r="U868" s="151"/>
      <c r="V868" s="152"/>
      <c r="W868" s="153"/>
      <c r="X868" s="154"/>
      <c r="Z868" s="156"/>
      <c r="AA868" s="156"/>
    </row>
    <row r="869" spans="1:27" s="186" customFormat="1" ht="15" customHeight="1" thickBot="1">
      <c r="A869" s="215"/>
      <c r="B869" s="780"/>
      <c r="C869" s="297" t="s">
        <v>989</v>
      </c>
      <c r="D869" s="195" t="s">
        <v>2190</v>
      </c>
      <c r="E869" s="195" t="s">
        <v>22</v>
      </c>
      <c r="F869" s="195" t="s">
        <v>48</v>
      </c>
      <c r="G869" s="195" t="s">
        <v>986</v>
      </c>
      <c r="H869" s="195" t="s">
        <v>987</v>
      </c>
      <c r="I869" s="195" t="s">
        <v>985</v>
      </c>
      <c r="J869" s="196" t="s">
        <v>45</v>
      </c>
      <c r="K869" s="196" t="s">
        <v>46</v>
      </c>
      <c r="L869" s="195" t="s">
        <v>2192</v>
      </c>
      <c r="M869" s="196" t="s">
        <v>2193</v>
      </c>
      <c r="N869" s="195"/>
      <c r="O869" s="611" t="s">
        <v>53</v>
      </c>
      <c r="P869" s="236" t="s">
        <v>54</v>
      </c>
      <c r="Q869" s="195" t="s">
        <v>55</v>
      </c>
      <c r="R869" s="195"/>
      <c r="S869" s="297" t="s">
        <v>989</v>
      </c>
      <c r="T869" s="195" t="s">
        <v>988</v>
      </c>
      <c r="U869" s="195"/>
      <c r="V869" s="197"/>
      <c r="W869" s="185"/>
      <c r="X869" s="141"/>
      <c r="Z869" s="187"/>
      <c r="AA869" s="187"/>
    </row>
    <row r="870" spans="1:27" s="186" customFormat="1" ht="15" customHeight="1">
      <c r="A870" s="215"/>
      <c r="B870" s="213" t="s">
        <v>392</v>
      </c>
      <c r="C870" s="297">
        <f>O859</f>
        <v>0</v>
      </c>
      <c r="D870" s="629">
        <f>Q859</f>
        <v>0</v>
      </c>
      <c r="E870" s="629">
        <f>E859</f>
        <v>0</v>
      </c>
      <c r="F870" s="629">
        <f>F859</f>
        <v>0</v>
      </c>
      <c r="G870" s="629">
        <f>E863</f>
        <v>0</v>
      </c>
      <c r="H870" s="629">
        <f>F863</f>
        <v>0</v>
      </c>
      <c r="I870" s="629">
        <f>IF(M859=G859,H859,IF(M859=H859,G859,"Espessura Errada"))</f>
        <v>0</v>
      </c>
      <c r="J870" s="629">
        <f>M859</f>
        <v>0</v>
      </c>
      <c r="K870" s="629">
        <f>N859</f>
        <v>0</v>
      </c>
      <c r="L870" s="630" t="e">
        <f t="shared" ref="L870:L919" si="122">(1/(-(E870+K870)*(H870+K870)+(F870+K870)*(G870+K870)))*3.1416*(-C870*(H870+K870)+(C870-(J870*2))*(G870+K870))</f>
        <v>#DIV/0!</v>
      </c>
      <c r="M870" s="630" t="e">
        <f t="shared" ref="M870:M919" si="123">((C870*PI())-(L870*(E870+K870)))/(G870+K870)</f>
        <v>#DIV/0!</v>
      </c>
      <c r="N870" s="195"/>
      <c r="O870" s="614">
        <v>360</v>
      </c>
      <c r="P870" s="236" t="e">
        <f t="shared" ref="P870:P919" si="124">IF(L870/360*O870-ROUNDDOWN(L870/360*O870,0)&gt;M870/360*O870-ROUNDDOWN(M870/360*O870,0),ROUNDUP(L870/360*O870,0),ROUNDUP(SUM(L870/360*O870,M870/360*O870),0)-ROUNDUP(M870/360*O870,0))</f>
        <v>#DIV/0!</v>
      </c>
      <c r="Q870" s="195" t="e">
        <f t="shared" ref="Q870:Q919" si="125">IF(M870/360*O870-ROUNDDOWN(M870/360*O870,0)&gt;L870/360*O870-ROUNDDOWN(L870/360*O870,0),ROUNDUP(M870/360*O870,0),ROUNDUP(SUM(L870/360*O870,M870/360*O870),0)-ROUNDUP(L870/360*O870,0))</f>
        <v>#DIV/0!</v>
      </c>
      <c r="R870" s="195"/>
      <c r="S870" s="327" t="e">
        <f t="shared" ref="S870:S919" si="126">((E870*(L870+K870)+G870*(M870+K870))/PI()-C870)/(P870+Q870)</f>
        <v>#DIV/0!</v>
      </c>
      <c r="T870" s="327" t="e">
        <f t="shared" ref="T870:T901" si="127">((F870*(L870+K870)+H870*(M870+K870))/PI()-(C870-(J870*2)))/(P870+Q870)</f>
        <v>#DIV/0!</v>
      </c>
      <c r="U870" s="195"/>
      <c r="V870" s="197"/>
      <c r="W870" s="185"/>
      <c r="X870" s="141"/>
      <c r="Z870" s="187"/>
      <c r="AA870" s="187"/>
    </row>
    <row r="871" spans="1:27" s="186" customFormat="1" ht="15" customHeight="1">
      <c r="A871" s="215"/>
      <c r="B871" s="213" t="s">
        <v>984</v>
      </c>
      <c r="C871" s="298">
        <f>IF(R859="Inclinado",C870+2*SIN(RADIANS(Q859))*(I871+K871),C870+2*TAN(RADIANS(Q859))*(I871+K871))</f>
        <v>0</v>
      </c>
      <c r="D871" s="629">
        <f t="shared" ref="D871:K886" si="128">D870</f>
        <v>0</v>
      </c>
      <c r="E871" s="629">
        <f t="shared" si="128"/>
        <v>0</v>
      </c>
      <c r="F871" s="629">
        <f t="shared" si="128"/>
        <v>0</v>
      </c>
      <c r="G871" s="629">
        <f t="shared" si="128"/>
        <v>0</v>
      </c>
      <c r="H871" s="629">
        <f t="shared" si="128"/>
        <v>0</v>
      </c>
      <c r="I871" s="629">
        <f t="shared" si="128"/>
        <v>0</v>
      </c>
      <c r="J871" s="629">
        <f t="shared" si="128"/>
        <v>0</v>
      </c>
      <c r="K871" s="629">
        <f t="shared" si="128"/>
        <v>0</v>
      </c>
      <c r="L871" s="630" t="e">
        <f t="shared" si="122"/>
        <v>#DIV/0!</v>
      </c>
      <c r="M871" s="630" t="e">
        <f t="shared" si="123"/>
        <v>#DIV/0!</v>
      </c>
      <c r="N871" s="195"/>
      <c r="O871" s="615">
        <f>O870</f>
        <v>360</v>
      </c>
      <c r="P871" s="236" t="e">
        <f t="shared" si="124"/>
        <v>#DIV/0!</v>
      </c>
      <c r="Q871" s="195" t="e">
        <f t="shared" si="125"/>
        <v>#DIV/0!</v>
      </c>
      <c r="R871" s="195"/>
      <c r="S871" s="327" t="e">
        <f t="shared" si="126"/>
        <v>#DIV/0!</v>
      </c>
      <c r="T871" s="327" t="e">
        <f t="shared" si="127"/>
        <v>#DIV/0!</v>
      </c>
      <c r="U871" s="195"/>
      <c r="V871" s="197"/>
      <c r="W871" s="185"/>
      <c r="X871" s="141"/>
      <c r="Z871" s="187"/>
      <c r="AA871" s="187"/>
    </row>
    <row r="872" spans="1:27" s="186" customFormat="1" ht="15" customHeight="1">
      <c r="A872" s="215"/>
      <c r="B872" s="213" t="s">
        <v>393</v>
      </c>
      <c r="C872" s="298">
        <f>IF(R859="Inclinado",C871+2*SIN(RADIANS(Q859))*(I871+N859),C871+2*TAN(RADIANS(Q859))*(I871+N859))</f>
        <v>0</v>
      </c>
      <c r="D872" s="629">
        <f t="shared" si="128"/>
        <v>0</v>
      </c>
      <c r="E872" s="629">
        <f t="shared" si="128"/>
        <v>0</v>
      </c>
      <c r="F872" s="629">
        <f t="shared" si="128"/>
        <v>0</v>
      </c>
      <c r="G872" s="629">
        <f t="shared" si="128"/>
        <v>0</v>
      </c>
      <c r="H872" s="629">
        <f t="shared" si="128"/>
        <v>0</v>
      </c>
      <c r="I872" s="629">
        <f t="shared" si="128"/>
        <v>0</v>
      </c>
      <c r="J872" s="629">
        <f t="shared" si="128"/>
        <v>0</v>
      </c>
      <c r="K872" s="629">
        <f t="shared" si="128"/>
        <v>0</v>
      </c>
      <c r="L872" s="630" t="e">
        <f t="shared" si="122"/>
        <v>#DIV/0!</v>
      </c>
      <c r="M872" s="630" t="e">
        <f t="shared" si="123"/>
        <v>#DIV/0!</v>
      </c>
      <c r="N872" s="195"/>
      <c r="O872" s="615">
        <f t="shared" ref="O872:O919" si="129">O871</f>
        <v>360</v>
      </c>
      <c r="P872" s="236" t="e">
        <f t="shared" si="124"/>
        <v>#DIV/0!</v>
      </c>
      <c r="Q872" s="195" t="e">
        <f t="shared" si="125"/>
        <v>#DIV/0!</v>
      </c>
      <c r="R872" s="195"/>
      <c r="S872" s="327" t="e">
        <f t="shared" si="126"/>
        <v>#DIV/0!</v>
      </c>
      <c r="T872" s="327" t="e">
        <f t="shared" si="127"/>
        <v>#DIV/0!</v>
      </c>
      <c r="U872" s="195"/>
      <c r="V872" s="197"/>
      <c r="W872" s="185"/>
      <c r="X872" s="141"/>
      <c r="Z872" s="187"/>
      <c r="AA872" s="187"/>
    </row>
    <row r="873" spans="1:27" s="186" customFormat="1" ht="15" customHeight="1">
      <c r="A873" s="215"/>
      <c r="B873" s="213" t="s">
        <v>394</v>
      </c>
      <c r="C873" s="298">
        <f>IF(R859="Inclinado",C872+2*SIN(RADIANS(Q859))*(I872+N859),C872+2*TAN(RADIANS(Q859))*(I872+N859))</f>
        <v>0</v>
      </c>
      <c r="D873" s="629">
        <f t="shared" si="128"/>
        <v>0</v>
      </c>
      <c r="E873" s="629">
        <f t="shared" si="128"/>
        <v>0</v>
      </c>
      <c r="F873" s="629">
        <f t="shared" si="128"/>
        <v>0</v>
      </c>
      <c r="G873" s="629">
        <f t="shared" si="128"/>
        <v>0</v>
      </c>
      <c r="H873" s="629">
        <f t="shared" si="128"/>
        <v>0</v>
      </c>
      <c r="I873" s="629">
        <f t="shared" si="128"/>
        <v>0</v>
      </c>
      <c r="J873" s="629">
        <f t="shared" si="128"/>
        <v>0</v>
      </c>
      <c r="K873" s="629">
        <f t="shared" si="128"/>
        <v>0</v>
      </c>
      <c r="L873" s="630" t="e">
        <f t="shared" si="122"/>
        <v>#DIV/0!</v>
      </c>
      <c r="M873" s="630" t="e">
        <f t="shared" si="123"/>
        <v>#DIV/0!</v>
      </c>
      <c r="N873" s="195"/>
      <c r="O873" s="615">
        <f t="shared" si="129"/>
        <v>360</v>
      </c>
      <c r="P873" s="236" t="e">
        <f t="shared" si="124"/>
        <v>#DIV/0!</v>
      </c>
      <c r="Q873" s="195" t="e">
        <f t="shared" si="125"/>
        <v>#DIV/0!</v>
      </c>
      <c r="R873" s="195"/>
      <c r="S873" s="327" t="e">
        <f t="shared" si="126"/>
        <v>#DIV/0!</v>
      </c>
      <c r="T873" s="327" t="e">
        <f t="shared" si="127"/>
        <v>#DIV/0!</v>
      </c>
      <c r="U873" s="195"/>
      <c r="V873" s="197"/>
      <c r="W873" s="185"/>
      <c r="X873" s="141"/>
      <c r="Z873" s="187"/>
      <c r="AA873" s="187"/>
    </row>
    <row r="874" spans="1:27" s="186" customFormat="1" ht="15" customHeight="1">
      <c r="A874" s="215"/>
      <c r="B874" s="213" t="s">
        <v>395</v>
      </c>
      <c r="C874" s="298">
        <f>IF(R859="Inclinado",C873+2*SIN(RADIANS(Q859))*(I873+N859),C873+2*TAN(RADIANS(Q859))*(I873+N859))</f>
        <v>0</v>
      </c>
      <c r="D874" s="629">
        <f t="shared" si="128"/>
        <v>0</v>
      </c>
      <c r="E874" s="629">
        <f t="shared" si="128"/>
        <v>0</v>
      </c>
      <c r="F874" s="629">
        <f t="shared" si="128"/>
        <v>0</v>
      </c>
      <c r="G874" s="629">
        <f t="shared" si="128"/>
        <v>0</v>
      </c>
      <c r="H874" s="629">
        <f t="shared" si="128"/>
        <v>0</v>
      </c>
      <c r="I874" s="629">
        <f t="shared" si="128"/>
        <v>0</v>
      </c>
      <c r="J874" s="629">
        <f t="shared" si="128"/>
        <v>0</v>
      </c>
      <c r="K874" s="629">
        <f t="shared" si="128"/>
        <v>0</v>
      </c>
      <c r="L874" s="630" t="e">
        <f t="shared" si="122"/>
        <v>#DIV/0!</v>
      </c>
      <c r="M874" s="630" t="e">
        <f t="shared" si="123"/>
        <v>#DIV/0!</v>
      </c>
      <c r="N874" s="195"/>
      <c r="O874" s="615">
        <f t="shared" si="129"/>
        <v>360</v>
      </c>
      <c r="P874" s="236" t="e">
        <f t="shared" si="124"/>
        <v>#DIV/0!</v>
      </c>
      <c r="Q874" s="195" t="e">
        <f t="shared" si="125"/>
        <v>#DIV/0!</v>
      </c>
      <c r="R874" s="195"/>
      <c r="S874" s="327" t="e">
        <f t="shared" si="126"/>
        <v>#DIV/0!</v>
      </c>
      <c r="T874" s="327" t="e">
        <f t="shared" si="127"/>
        <v>#DIV/0!</v>
      </c>
      <c r="U874" s="195"/>
      <c r="V874" s="197"/>
      <c r="W874" s="185"/>
      <c r="X874" s="141"/>
      <c r="Z874" s="187"/>
      <c r="AA874" s="187"/>
    </row>
    <row r="875" spans="1:27" s="186" customFormat="1" ht="15" customHeight="1">
      <c r="A875" s="215"/>
      <c r="B875" s="213" t="s">
        <v>396</v>
      </c>
      <c r="C875" s="298">
        <f>IF(R859="Inclinado",C874+2*SIN(RADIANS(Q859))*(I874+N859),C874+2*TAN(RADIANS(Q859))*(I874+N859))</f>
        <v>0</v>
      </c>
      <c r="D875" s="629">
        <f t="shared" si="128"/>
        <v>0</v>
      </c>
      <c r="E875" s="629">
        <f t="shared" si="128"/>
        <v>0</v>
      </c>
      <c r="F875" s="629">
        <f t="shared" si="128"/>
        <v>0</v>
      </c>
      <c r="G875" s="629">
        <f t="shared" si="128"/>
        <v>0</v>
      </c>
      <c r="H875" s="629">
        <f t="shared" si="128"/>
        <v>0</v>
      </c>
      <c r="I875" s="629">
        <f t="shared" si="128"/>
        <v>0</v>
      </c>
      <c r="J875" s="629">
        <f t="shared" si="128"/>
        <v>0</v>
      </c>
      <c r="K875" s="629">
        <f t="shared" si="128"/>
        <v>0</v>
      </c>
      <c r="L875" s="630" t="e">
        <f t="shared" si="122"/>
        <v>#DIV/0!</v>
      </c>
      <c r="M875" s="630" t="e">
        <f t="shared" si="123"/>
        <v>#DIV/0!</v>
      </c>
      <c r="N875" s="195"/>
      <c r="O875" s="615">
        <f t="shared" si="129"/>
        <v>360</v>
      </c>
      <c r="P875" s="236" t="e">
        <f t="shared" si="124"/>
        <v>#DIV/0!</v>
      </c>
      <c r="Q875" s="195" t="e">
        <f t="shared" si="125"/>
        <v>#DIV/0!</v>
      </c>
      <c r="R875" s="195"/>
      <c r="S875" s="327" t="e">
        <f t="shared" si="126"/>
        <v>#DIV/0!</v>
      </c>
      <c r="T875" s="327" t="e">
        <f t="shared" si="127"/>
        <v>#DIV/0!</v>
      </c>
      <c r="U875" s="195"/>
      <c r="V875" s="197"/>
      <c r="W875" s="185"/>
      <c r="X875" s="141"/>
      <c r="Z875" s="187"/>
      <c r="AA875" s="187"/>
    </row>
    <row r="876" spans="1:27" s="186" customFormat="1" ht="15" customHeight="1">
      <c r="A876" s="215"/>
      <c r="B876" s="213" t="s">
        <v>397</v>
      </c>
      <c r="C876" s="298">
        <f>IF(R859="Inclinado",C875+2*SIN(RADIANS(Q859))*(I875+N859),C875+2*TAN(RADIANS(Q859))*(I875+N859))</f>
        <v>0</v>
      </c>
      <c r="D876" s="629">
        <f t="shared" si="128"/>
        <v>0</v>
      </c>
      <c r="E876" s="629">
        <f t="shared" si="128"/>
        <v>0</v>
      </c>
      <c r="F876" s="629">
        <f t="shared" si="128"/>
        <v>0</v>
      </c>
      <c r="G876" s="629">
        <f t="shared" si="128"/>
        <v>0</v>
      </c>
      <c r="H876" s="629">
        <f t="shared" si="128"/>
        <v>0</v>
      </c>
      <c r="I876" s="629">
        <f t="shared" si="128"/>
        <v>0</v>
      </c>
      <c r="J876" s="629">
        <f t="shared" si="128"/>
        <v>0</v>
      </c>
      <c r="K876" s="629">
        <f t="shared" si="128"/>
        <v>0</v>
      </c>
      <c r="L876" s="630" t="e">
        <f t="shared" si="122"/>
        <v>#DIV/0!</v>
      </c>
      <c r="M876" s="630" t="e">
        <f t="shared" si="123"/>
        <v>#DIV/0!</v>
      </c>
      <c r="N876" s="195"/>
      <c r="O876" s="615">
        <f t="shared" si="129"/>
        <v>360</v>
      </c>
      <c r="P876" s="236" t="e">
        <f t="shared" si="124"/>
        <v>#DIV/0!</v>
      </c>
      <c r="Q876" s="195" t="e">
        <f t="shared" si="125"/>
        <v>#DIV/0!</v>
      </c>
      <c r="R876" s="195"/>
      <c r="S876" s="327" t="e">
        <f t="shared" si="126"/>
        <v>#DIV/0!</v>
      </c>
      <c r="T876" s="327" t="e">
        <f t="shared" si="127"/>
        <v>#DIV/0!</v>
      </c>
      <c r="U876" s="195"/>
      <c r="V876" s="197"/>
      <c r="W876" s="185"/>
      <c r="X876" s="141"/>
      <c r="Z876" s="187"/>
      <c r="AA876" s="187"/>
    </row>
    <row r="877" spans="1:27" s="186" customFormat="1" ht="15" customHeight="1">
      <c r="A877" s="215"/>
      <c r="B877" s="213" t="s">
        <v>398</v>
      </c>
      <c r="C877" s="298">
        <f>IF(R859="Inclinado",C876+2*SIN(RADIANS(Q859))*(I876+N859),C876+2*TAN(RADIANS(Q859))*(I876+N859))</f>
        <v>0</v>
      </c>
      <c r="D877" s="629">
        <f t="shared" si="128"/>
        <v>0</v>
      </c>
      <c r="E877" s="629">
        <f t="shared" si="128"/>
        <v>0</v>
      </c>
      <c r="F877" s="629">
        <f t="shared" si="128"/>
        <v>0</v>
      </c>
      <c r="G877" s="629">
        <f t="shared" si="128"/>
        <v>0</v>
      </c>
      <c r="H877" s="629">
        <f t="shared" si="128"/>
        <v>0</v>
      </c>
      <c r="I877" s="629">
        <f t="shared" si="128"/>
        <v>0</v>
      </c>
      <c r="J877" s="629">
        <f t="shared" si="128"/>
        <v>0</v>
      </c>
      <c r="K877" s="629">
        <f t="shared" si="128"/>
        <v>0</v>
      </c>
      <c r="L877" s="630" t="e">
        <f t="shared" si="122"/>
        <v>#DIV/0!</v>
      </c>
      <c r="M877" s="630" t="e">
        <f t="shared" si="123"/>
        <v>#DIV/0!</v>
      </c>
      <c r="N877" s="195"/>
      <c r="O877" s="615">
        <f t="shared" si="129"/>
        <v>360</v>
      </c>
      <c r="P877" s="236" t="e">
        <f t="shared" si="124"/>
        <v>#DIV/0!</v>
      </c>
      <c r="Q877" s="195" t="e">
        <f t="shared" si="125"/>
        <v>#DIV/0!</v>
      </c>
      <c r="R877" s="195"/>
      <c r="S877" s="327" t="e">
        <f t="shared" si="126"/>
        <v>#DIV/0!</v>
      </c>
      <c r="T877" s="327" t="e">
        <f t="shared" si="127"/>
        <v>#DIV/0!</v>
      </c>
      <c r="U877" s="195"/>
      <c r="V877" s="197"/>
      <c r="W877" s="185"/>
      <c r="X877" s="141"/>
      <c r="Z877" s="187"/>
      <c r="AA877" s="187"/>
    </row>
    <row r="878" spans="1:27" s="186" customFormat="1" ht="15" customHeight="1">
      <c r="A878" s="215"/>
      <c r="B878" s="213" t="s">
        <v>399</v>
      </c>
      <c r="C878" s="298">
        <f>IF(R859="Inclinado",C877+2*SIN(RADIANS(Q859))*(I877+N859),C877+2*TAN(RADIANS(Q859))*(I877+N859))</f>
        <v>0</v>
      </c>
      <c r="D878" s="629">
        <f t="shared" si="128"/>
        <v>0</v>
      </c>
      <c r="E878" s="629">
        <f t="shared" si="128"/>
        <v>0</v>
      </c>
      <c r="F878" s="629">
        <f t="shared" si="128"/>
        <v>0</v>
      </c>
      <c r="G878" s="629">
        <f t="shared" si="128"/>
        <v>0</v>
      </c>
      <c r="H878" s="629">
        <f t="shared" si="128"/>
        <v>0</v>
      </c>
      <c r="I878" s="629">
        <f t="shared" si="128"/>
        <v>0</v>
      </c>
      <c r="J878" s="629">
        <f t="shared" si="128"/>
        <v>0</v>
      </c>
      <c r="K878" s="629">
        <f t="shared" si="128"/>
        <v>0</v>
      </c>
      <c r="L878" s="630" t="e">
        <f t="shared" si="122"/>
        <v>#DIV/0!</v>
      </c>
      <c r="M878" s="630" t="e">
        <f t="shared" si="123"/>
        <v>#DIV/0!</v>
      </c>
      <c r="N878" s="195"/>
      <c r="O878" s="615">
        <f t="shared" si="129"/>
        <v>360</v>
      </c>
      <c r="P878" s="236" t="e">
        <f t="shared" si="124"/>
        <v>#DIV/0!</v>
      </c>
      <c r="Q878" s="195" t="e">
        <f t="shared" si="125"/>
        <v>#DIV/0!</v>
      </c>
      <c r="R878" s="195"/>
      <c r="S878" s="327" t="e">
        <f t="shared" si="126"/>
        <v>#DIV/0!</v>
      </c>
      <c r="T878" s="327" t="e">
        <f t="shared" si="127"/>
        <v>#DIV/0!</v>
      </c>
      <c r="U878" s="195"/>
      <c r="V878" s="197"/>
      <c r="W878" s="185"/>
      <c r="X878" s="141"/>
      <c r="Z878" s="187"/>
      <c r="AA878" s="187"/>
    </row>
    <row r="879" spans="1:27" s="186" customFormat="1" ht="15" customHeight="1">
      <c r="A879" s="215"/>
      <c r="B879" s="213" t="s">
        <v>400</v>
      </c>
      <c r="C879" s="298">
        <f>IF(R859="Inclinado",C878+2*SIN(RADIANS(Q859))*(I878+N859),C878+2*TAN(RADIANS(Q859))*(I878+N859))</f>
        <v>0</v>
      </c>
      <c r="D879" s="629">
        <f t="shared" si="128"/>
        <v>0</v>
      </c>
      <c r="E879" s="629">
        <f t="shared" si="128"/>
        <v>0</v>
      </c>
      <c r="F879" s="629">
        <f t="shared" si="128"/>
        <v>0</v>
      </c>
      <c r="G879" s="629">
        <f t="shared" si="128"/>
        <v>0</v>
      </c>
      <c r="H879" s="629">
        <f t="shared" si="128"/>
        <v>0</v>
      </c>
      <c r="I879" s="629">
        <f t="shared" si="128"/>
        <v>0</v>
      </c>
      <c r="J879" s="629">
        <f t="shared" si="128"/>
        <v>0</v>
      </c>
      <c r="K879" s="629">
        <f t="shared" si="128"/>
        <v>0</v>
      </c>
      <c r="L879" s="630" t="e">
        <f t="shared" si="122"/>
        <v>#DIV/0!</v>
      </c>
      <c r="M879" s="630" t="e">
        <f t="shared" si="123"/>
        <v>#DIV/0!</v>
      </c>
      <c r="N879" s="195"/>
      <c r="O879" s="615">
        <f t="shared" si="129"/>
        <v>360</v>
      </c>
      <c r="P879" s="236" t="e">
        <f t="shared" si="124"/>
        <v>#DIV/0!</v>
      </c>
      <c r="Q879" s="195" t="e">
        <f t="shared" si="125"/>
        <v>#DIV/0!</v>
      </c>
      <c r="R879" s="195"/>
      <c r="S879" s="327" t="e">
        <f t="shared" si="126"/>
        <v>#DIV/0!</v>
      </c>
      <c r="T879" s="327" t="e">
        <f t="shared" si="127"/>
        <v>#DIV/0!</v>
      </c>
      <c r="U879" s="195"/>
      <c r="V879" s="197"/>
      <c r="W879" s="185"/>
      <c r="X879" s="141"/>
      <c r="Z879" s="187"/>
      <c r="AA879" s="187"/>
    </row>
    <row r="880" spans="1:27" s="186" customFormat="1" ht="15" customHeight="1">
      <c r="A880" s="215"/>
      <c r="B880" s="213" t="s">
        <v>401</v>
      </c>
      <c r="C880" s="298">
        <f>IF(R859="Inclinado",C879+2*SIN(RADIANS(Q859))*(I879+N859),C879+2*TAN(RADIANS(Q859))*(I879+N859))</f>
        <v>0</v>
      </c>
      <c r="D880" s="629">
        <f t="shared" si="128"/>
        <v>0</v>
      </c>
      <c r="E880" s="629">
        <f t="shared" si="128"/>
        <v>0</v>
      </c>
      <c r="F880" s="629">
        <f t="shared" si="128"/>
        <v>0</v>
      </c>
      <c r="G880" s="629">
        <f t="shared" si="128"/>
        <v>0</v>
      </c>
      <c r="H880" s="629">
        <f t="shared" si="128"/>
        <v>0</v>
      </c>
      <c r="I880" s="629">
        <f t="shared" si="128"/>
        <v>0</v>
      </c>
      <c r="J880" s="629">
        <f t="shared" si="128"/>
        <v>0</v>
      </c>
      <c r="K880" s="629">
        <f t="shared" si="128"/>
        <v>0</v>
      </c>
      <c r="L880" s="630" t="e">
        <f t="shared" si="122"/>
        <v>#DIV/0!</v>
      </c>
      <c r="M880" s="630" t="e">
        <f t="shared" si="123"/>
        <v>#DIV/0!</v>
      </c>
      <c r="N880" s="195"/>
      <c r="O880" s="615">
        <f t="shared" si="129"/>
        <v>360</v>
      </c>
      <c r="P880" s="236" t="e">
        <f t="shared" si="124"/>
        <v>#DIV/0!</v>
      </c>
      <c r="Q880" s="195" t="e">
        <f t="shared" si="125"/>
        <v>#DIV/0!</v>
      </c>
      <c r="R880" s="195"/>
      <c r="S880" s="327" t="e">
        <f t="shared" si="126"/>
        <v>#DIV/0!</v>
      </c>
      <c r="T880" s="327" t="e">
        <f t="shared" si="127"/>
        <v>#DIV/0!</v>
      </c>
      <c r="U880" s="195"/>
      <c r="V880" s="197"/>
      <c r="W880" s="185"/>
      <c r="X880" s="141"/>
      <c r="Z880" s="187"/>
      <c r="AA880" s="187"/>
    </row>
    <row r="881" spans="1:27" s="186" customFormat="1" ht="15" customHeight="1">
      <c r="A881" s="215"/>
      <c r="B881" s="213" t="s">
        <v>402</v>
      </c>
      <c r="C881" s="298">
        <f>IF(R859="Inclinado",C880+2*SIN(RADIANS(Q859))*(I880+N859),C880+2*TAN(RADIANS(Q859))*(I880+N859))</f>
        <v>0</v>
      </c>
      <c r="D881" s="629">
        <f t="shared" si="128"/>
        <v>0</v>
      </c>
      <c r="E881" s="629">
        <f t="shared" si="128"/>
        <v>0</v>
      </c>
      <c r="F881" s="629">
        <f t="shared" si="128"/>
        <v>0</v>
      </c>
      <c r="G881" s="629">
        <f t="shared" si="128"/>
        <v>0</v>
      </c>
      <c r="H881" s="629">
        <f t="shared" si="128"/>
        <v>0</v>
      </c>
      <c r="I881" s="629">
        <f t="shared" si="128"/>
        <v>0</v>
      </c>
      <c r="J881" s="629">
        <f t="shared" si="128"/>
        <v>0</v>
      </c>
      <c r="K881" s="629">
        <f t="shared" si="128"/>
        <v>0</v>
      </c>
      <c r="L881" s="630" t="e">
        <f t="shared" si="122"/>
        <v>#DIV/0!</v>
      </c>
      <c r="M881" s="630" t="e">
        <f t="shared" si="123"/>
        <v>#DIV/0!</v>
      </c>
      <c r="N881" s="195"/>
      <c r="O881" s="615">
        <f t="shared" si="129"/>
        <v>360</v>
      </c>
      <c r="P881" s="236" t="e">
        <f t="shared" si="124"/>
        <v>#DIV/0!</v>
      </c>
      <c r="Q881" s="195" t="e">
        <f t="shared" si="125"/>
        <v>#DIV/0!</v>
      </c>
      <c r="R881" s="195"/>
      <c r="S881" s="327" t="e">
        <f t="shared" si="126"/>
        <v>#DIV/0!</v>
      </c>
      <c r="T881" s="327" t="e">
        <f t="shared" si="127"/>
        <v>#DIV/0!</v>
      </c>
      <c r="U881" s="195"/>
      <c r="V881" s="197"/>
      <c r="W881" s="185"/>
      <c r="X881" s="141"/>
      <c r="Z881" s="187"/>
      <c r="AA881" s="187"/>
    </row>
    <row r="882" spans="1:27" s="186" customFormat="1" ht="15" customHeight="1">
      <c r="A882" s="215"/>
      <c r="B882" s="213" t="s">
        <v>403</v>
      </c>
      <c r="C882" s="298">
        <f>IF(R859="Inclinado",C881+2*SIN(RADIANS(Q859))*(I881+N859),C881+2*TAN(RADIANS(Q859))*(I881+N859))</f>
        <v>0</v>
      </c>
      <c r="D882" s="629">
        <f t="shared" si="128"/>
        <v>0</v>
      </c>
      <c r="E882" s="629">
        <f t="shared" si="128"/>
        <v>0</v>
      </c>
      <c r="F882" s="629">
        <f t="shared" si="128"/>
        <v>0</v>
      </c>
      <c r="G882" s="629">
        <f t="shared" si="128"/>
        <v>0</v>
      </c>
      <c r="H882" s="629">
        <f t="shared" si="128"/>
        <v>0</v>
      </c>
      <c r="I882" s="629">
        <f t="shared" si="128"/>
        <v>0</v>
      </c>
      <c r="J882" s="629">
        <f t="shared" si="128"/>
        <v>0</v>
      </c>
      <c r="K882" s="629">
        <f t="shared" si="128"/>
        <v>0</v>
      </c>
      <c r="L882" s="630" t="e">
        <f t="shared" si="122"/>
        <v>#DIV/0!</v>
      </c>
      <c r="M882" s="630" t="e">
        <f t="shared" si="123"/>
        <v>#DIV/0!</v>
      </c>
      <c r="N882" s="195"/>
      <c r="O882" s="615">
        <f t="shared" si="129"/>
        <v>360</v>
      </c>
      <c r="P882" s="236" t="e">
        <f t="shared" si="124"/>
        <v>#DIV/0!</v>
      </c>
      <c r="Q882" s="195" t="e">
        <f t="shared" si="125"/>
        <v>#DIV/0!</v>
      </c>
      <c r="R882" s="195"/>
      <c r="S882" s="327" t="e">
        <f t="shared" si="126"/>
        <v>#DIV/0!</v>
      </c>
      <c r="T882" s="327" t="e">
        <f t="shared" si="127"/>
        <v>#DIV/0!</v>
      </c>
      <c r="U882" s="195"/>
      <c r="V882" s="197"/>
      <c r="W882" s="185"/>
      <c r="X882" s="141"/>
      <c r="Z882" s="187"/>
      <c r="AA882" s="187"/>
    </row>
    <row r="883" spans="1:27" s="186" customFormat="1" ht="15" customHeight="1">
      <c r="A883" s="215"/>
      <c r="B883" s="213" t="s">
        <v>404</v>
      </c>
      <c r="C883" s="298">
        <f>IF(R859="Inclinado",C882+2*SIN(RADIANS(Q859))*(I882+N859),C882+2*TAN(RADIANS(Q859))*(I882+N859))</f>
        <v>0</v>
      </c>
      <c r="D883" s="629">
        <f t="shared" si="128"/>
        <v>0</v>
      </c>
      <c r="E883" s="629">
        <f t="shared" si="128"/>
        <v>0</v>
      </c>
      <c r="F883" s="629">
        <f t="shared" si="128"/>
        <v>0</v>
      </c>
      <c r="G883" s="629">
        <f t="shared" si="128"/>
        <v>0</v>
      </c>
      <c r="H883" s="629">
        <f t="shared" si="128"/>
        <v>0</v>
      </c>
      <c r="I883" s="629">
        <f t="shared" si="128"/>
        <v>0</v>
      </c>
      <c r="J883" s="629">
        <f t="shared" si="128"/>
        <v>0</v>
      </c>
      <c r="K883" s="629">
        <f t="shared" si="128"/>
        <v>0</v>
      </c>
      <c r="L883" s="630" t="e">
        <f t="shared" si="122"/>
        <v>#DIV/0!</v>
      </c>
      <c r="M883" s="630" t="e">
        <f t="shared" si="123"/>
        <v>#DIV/0!</v>
      </c>
      <c r="N883" s="195"/>
      <c r="O883" s="615">
        <f t="shared" si="129"/>
        <v>360</v>
      </c>
      <c r="P883" s="236" t="e">
        <f t="shared" si="124"/>
        <v>#DIV/0!</v>
      </c>
      <c r="Q883" s="195" t="e">
        <f t="shared" si="125"/>
        <v>#DIV/0!</v>
      </c>
      <c r="R883" s="195"/>
      <c r="S883" s="327" t="e">
        <f t="shared" si="126"/>
        <v>#DIV/0!</v>
      </c>
      <c r="T883" s="327" t="e">
        <f t="shared" si="127"/>
        <v>#DIV/0!</v>
      </c>
      <c r="U883" s="195"/>
      <c r="V883" s="197"/>
      <c r="W883" s="185"/>
      <c r="X883" s="141"/>
      <c r="Z883" s="187"/>
      <c r="AA883" s="187"/>
    </row>
    <row r="884" spans="1:27" s="186" customFormat="1" ht="15" customHeight="1">
      <c r="A884" s="215"/>
      <c r="B884" s="213" t="s">
        <v>405</v>
      </c>
      <c r="C884" s="298">
        <f>IF(R859="Inclinado",C883+2*SIN(RADIANS(Q859))*(I883+N859),C883+2*TAN(RADIANS(Q859))*(I883+N859))</f>
        <v>0</v>
      </c>
      <c r="D884" s="629">
        <f t="shared" si="128"/>
        <v>0</v>
      </c>
      <c r="E884" s="629">
        <f t="shared" si="128"/>
        <v>0</v>
      </c>
      <c r="F884" s="629">
        <f t="shared" si="128"/>
        <v>0</v>
      </c>
      <c r="G884" s="629">
        <f t="shared" si="128"/>
        <v>0</v>
      </c>
      <c r="H884" s="629">
        <f t="shared" si="128"/>
        <v>0</v>
      </c>
      <c r="I884" s="629">
        <f t="shared" si="128"/>
        <v>0</v>
      </c>
      <c r="J884" s="629">
        <f t="shared" si="128"/>
        <v>0</v>
      </c>
      <c r="K884" s="629">
        <f t="shared" si="128"/>
        <v>0</v>
      </c>
      <c r="L884" s="630" t="e">
        <f t="shared" si="122"/>
        <v>#DIV/0!</v>
      </c>
      <c r="M884" s="630" t="e">
        <f t="shared" si="123"/>
        <v>#DIV/0!</v>
      </c>
      <c r="N884" s="195"/>
      <c r="O884" s="615">
        <f t="shared" si="129"/>
        <v>360</v>
      </c>
      <c r="P884" s="236" t="e">
        <f t="shared" si="124"/>
        <v>#DIV/0!</v>
      </c>
      <c r="Q884" s="195" t="e">
        <f t="shared" si="125"/>
        <v>#DIV/0!</v>
      </c>
      <c r="R884" s="195"/>
      <c r="S884" s="327" t="e">
        <f t="shared" si="126"/>
        <v>#DIV/0!</v>
      </c>
      <c r="T884" s="327" t="e">
        <f t="shared" si="127"/>
        <v>#DIV/0!</v>
      </c>
      <c r="U884" s="195"/>
      <c r="V884" s="197"/>
      <c r="W884" s="185"/>
      <c r="X884" s="141"/>
      <c r="Z884" s="187"/>
      <c r="AA884" s="187"/>
    </row>
    <row r="885" spans="1:27" s="186" customFormat="1" ht="15" customHeight="1">
      <c r="A885" s="215"/>
      <c r="B885" s="213" t="s">
        <v>406</v>
      </c>
      <c r="C885" s="298">
        <f>IF(R859="Inclinado",C884+2*SIN(RADIANS(Q859))*(I884+N859),C884+2*TAN(RADIANS(Q859))*(I884+N859))</f>
        <v>0</v>
      </c>
      <c r="D885" s="629">
        <f t="shared" si="128"/>
        <v>0</v>
      </c>
      <c r="E885" s="629">
        <f t="shared" si="128"/>
        <v>0</v>
      </c>
      <c r="F885" s="629">
        <f t="shared" si="128"/>
        <v>0</v>
      </c>
      <c r="G885" s="629">
        <f t="shared" si="128"/>
        <v>0</v>
      </c>
      <c r="H885" s="629">
        <f t="shared" si="128"/>
        <v>0</v>
      </c>
      <c r="I885" s="629">
        <f t="shared" si="128"/>
        <v>0</v>
      </c>
      <c r="J885" s="629">
        <f t="shared" si="128"/>
        <v>0</v>
      </c>
      <c r="K885" s="629">
        <f t="shared" si="128"/>
        <v>0</v>
      </c>
      <c r="L885" s="630" t="e">
        <f t="shared" si="122"/>
        <v>#DIV/0!</v>
      </c>
      <c r="M885" s="630" t="e">
        <f t="shared" si="123"/>
        <v>#DIV/0!</v>
      </c>
      <c r="N885" s="195"/>
      <c r="O885" s="615">
        <f t="shared" si="129"/>
        <v>360</v>
      </c>
      <c r="P885" s="236" t="e">
        <f t="shared" si="124"/>
        <v>#DIV/0!</v>
      </c>
      <c r="Q885" s="195" t="e">
        <f t="shared" si="125"/>
        <v>#DIV/0!</v>
      </c>
      <c r="R885" s="195"/>
      <c r="S885" s="327" t="e">
        <f t="shared" si="126"/>
        <v>#DIV/0!</v>
      </c>
      <c r="T885" s="327" t="e">
        <f t="shared" si="127"/>
        <v>#DIV/0!</v>
      </c>
      <c r="U885" s="195"/>
      <c r="V885" s="197"/>
      <c r="W885" s="185"/>
      <c r="X885" s="141"/>
      <c r="Z885" s="187"/>
      <c r="AA885" s="187"/>
    </row>
    <row r="886" spans="1:27" s="186" customFormat="1" ht="15" customHeight="1">
      <c r="A886" s="215"/>
      <c r="B886" s="213" t="s">
        <v>407</v>
      </c>
      <c r="C886" s="298">
        <f>IF(R859="Inclinado",C885+2*SIN(RADIANS(Q859))*(I885+N859),C885+2*TAN(RADIANS(Q859))*(I885+N859))</f>
        <v>0</v>
      </c>
      <c r="D886" s="629">
        <f t="shared" si="128"/>
        <v>0</v>
      </c>
      <c r="E886" s="629">
        <f t="shared" si="128"/>
        <v>0</v>
      </c>
      <c r="F886" s="629">
        <f t="shared" si="128"/>
        <v>0</v>
      </c>
      <c r="G886" s="629">
        <f t="shared" si="128"/>
        <v>0</v>
      </c>
      <c r="H886" s="629">
        <f t="shared" si="128"/>
        <v>0</v>
      </c>
      <c r="I886" s="629">
        <f t="shared" si="128"/>
        <v>0</v>
      </c>
      <c r="J886" s="629">
        <f t="shared" si="128"/>
        <v>0</v>
      </c>
      <c r="K886" s="629">
        <f t="shared" si="128"/>
        <v>0</v>
      </c>
      <c r="L886" s="630" t="e">
        <f t="shared" si="122"/>
        <v>#DIV/0!</v>
      </c>
      <c r="M886" s="630" t="e">
        <f t="shared" si="123"/>
        <v>#DIV/0!</v>
      </c>
      <c r="N886" s="195"/>
      <c r="O886" s="615">
        <f t="shared" si="129"/>
        <v>360</v>
      </c>
      <c r="P886" s="236" t="e">
        <f t="shared" si="124"/>
        <v>#DIV/0!</v>
      </c>
      <c r="Q886" s="195" t="e">
        <f t="shared" si="125"/>
        <v>#DIV/0!</v>
      </c>
      <c r="R886" s="195"/>
      <c r="S886" s="327" t="e">
        <f t="shared" si="126"/>
        <v>#DIV/0!</v>
      </c>
      <c r="T886" s="327" t="e">
        <f t="shared" si="127"/>
        <v>#DIV/0!</v>
      </c>
      <c r="U886" s="195"/>
      <c r="V886" s="197"/>
      <c r="W886" s="185"/>
      <c r="X886" s="141"/>
      <c r="Z886" s="187"/>
      <c r="AA886" s="187"/>
    </row>
    <row r="887" spans="1:27" s="186" customFormat="1" ht="15" customHeight="1">
      <c r="A887" s="215"/>
      <c r="B887" s="213" t="s">
        <v>408</v>
      </c>
      <c r="C887" s="298">
        <f>IF(R859="Inclinado",C886+2*SIN(RADIANS(Q859))*(I886+N859),C886+2*TAN(RADIANS(Q859))*(I886+N859))</f>
        <v>0</v>
      </c>
      <c r="D887" s="629">
        <f t="shared" ref="D887:K902" si="130">D886</f>
        <v>0</v>
      </c>
      <c r="E887" s="629">
        <f t="shared" si="130"/>
        <v>0</v>
      </c>
      <c r="F887" s="629">
        <f t="shared" si="130"/>
        <v>0</v>
      </c>
      <c r="G887" s="629">
        <f t="shared" si="130"/>
        <v>0</v>
      </c>
      <c r="H887" s="629">
        <f t="shared" si="130"/>
        <v>0</v>
      </c>
      <c r="I887" s="629">
        <f t="shared" si="130"/>
        <v>0</v>
      </c>
      <c r="J887" s="629">
        <f t="shared" si="130"/>
        <v>0</v>
      </c>
      <c r="K887" s="629">
        <f t="shared" si="130"/>
        <v>0</v>
      </c>
      <c r="L887" s="630" t="e">
        <f t="shared" si="122"/>
        <v>#DIV/0!</v>
      </c>
      <c r="M887" s="630" t="e">
        <f t="shared" si="123"/>
        <v>#DIV/0!</v>
      </c>
      <c r="N887" s="195"/>
      <c r="O887" s="615">
        <f t="shared" si="129"/>
        <v>360</v>
      </c>
      <c r="P887" s="236" t="e">
        <f t="shared" si="124"/>
        <v>#DIV/0!</v>
      </c>
      <c r="Q887" s="195" t="e">
        <f t="shared" si="125"/>
        <v>#DIV/0!</v>
      </c>
      <c r="R887" s="195"/>
      <c r="S887" s="327" t="e">
        <f t="shared" si="126"/>
        <v>#DIV/0!</v>
      </c>
      <c r="T887" s="327" t="e">
        <f t="shared" si="127"/>
        <v>#DIV/0!</v>
      </c>
      <c r="U887" s="195"/>
      <c r="V887" s="197"/>
      <c r="W887" s="185"/>
      <c r="X887" s="141"/>
      <c r="Z887" s="187"/>
      <c r="AA887" s="187"/>
    </row>
    <row r="888" spans="1:27" s="186" customFormat="1" ht="15" customHeight="1">
      <c r="A888" s="215"/>
      <c r="B888" s="213" t="s">
        <v>409</v>
      </c>
      <c r="C888" s="298">
        <f>IF(R859="Inclinado",C887+2*SIN(RADIANS(Q859))*(I887+N859),C887+2*TAN(RADIANS(Q859))*(I887+N859))</f>
        <v>0</v>
      </c>
      <c r="D888" s="629">
        <f t="shared" si="130"/>
        <v>0</v>
      </c>
      <c r="E888" s="629">
        <f t="shared" si="130"/>
        <v>0</v>
      </c>
      <c r="F888" s="629">
        <f t="shared" si="130"/>
        <v>0</v>
      </c>
      <c r="G888" s="629">
        <f t="shared" si="130"/>
        <v>0</v>
      </c>
      <c r="H888" s="629">
        <f t="shared" si="130"/>
        <v>0</v>
      </c>
      <c r="I888" s="629">
        <f t="shared" si="130"/>
        <v>0</v>
      </c>
      <c r="J888" s="629">
        <f t="shared" si="130"/>
        <v>0</v>
      </c>
      <c r="K888" s="629">
        <f t="shared" si="130"/>
        <v>0</v>
      </c>
      <c r="L888" s="630" t="e">
        <f t="shared" si="122"/>
        <v>#DIV/0!</v>
      </c>
      <c r="M888" s="630" t="e">
        <f t="shared" si="123"/>
        <v>#DIV/0!</v>
      </c>
      <c r="N888" s="195"/>
      <c r="O888" s="615">
        <f t="shared" si="129"/>
        <v>360</v>
      </c>
      <c r="P888" s="236" t="e">
        <f t="shared" si="124"/>
        <v>#DIV/0!</v>
      </c>
      <c r="Q888" s="195" t="e">
        <f t="shared" si="125"/>
        <v>#DIV/0!</v>
      </c>
      <c r="R888" s="195"/>
      <c r="S888" s="327" t="e">
        <f t="shared" si="126"/>
        <v>#DIV/0!</v>
      </c>
      <c r="T888" s="327" t="e">
        <f t="shared" si="127"/>
        <v>#DIV/0!</v>
      </c>
      <c r="U888" s="195"/>
      <c r="V888" s="197"/>
      <c r="W888" s="185"/>
      <c r="X888" s="141"/>
      <c r="Z888" s="187"/>
      <c r="AA888" s="187"/>
    </row>
    <row r="889" spans="1:27" s="186" customFormat="1" ht="15" customHeight="1">
      <c r="A889" s="215"/>
      <c r="B889" s="213" t="s">
        <v>410</v>
      </c>
      <c r="C889" s="298">
        <f>IF(R859="Inclinado",C888+2*SIN(RADIANS(Q859))*(I888+N859),C888+2*TAN(RADIANS(Q859))*(I888+N859))</f>
        <v>0</v>
      </c>
      <c r="D889" s="629">
        <f t="shared" si="130"/>
        <v>0</v>
      </c>
      <c r="E889" s="629">
        <f t="shared" si="130"/>
        <v>0</v>
      </c>
      <c r="F889" s="629">
        <f t="shared" si="130"/>
        <v>0</v>
      </c>
      <c r="G889" s="629">
        <f t="shared" si="130"/>
        <v>0</v>
      </c>
      <c r="H889" s="629">
        <f t="shared" si="130"/>
        <v>0</v>
      </c>
      <c r="I889" s="629">
        <f t="shared" si="130"/>
        <v>0</v>
      </c>
      <c r="J889" s="629">
        <f t="shared" si="130"/>
        <v>0</v>
      </c>
      <c r="K889" s="629">
        <f t="shared" si="130"/>
        <v>0</v>
      </c>
      <c r="L889" s="630" t="e">
        <f t="shared" si="122"/>
        <v>#DIV/0!</v>
      </c>
      <c r="M889" s="630" t="e">
        <f t="shared" si="123"/>
        <v>#DIV/0!</v>
      </c>
      <c r="N889" s="195"/>
      <c r="O889" s="615">
        <f t="shared" si="129"/>
        <v>360</v>
      </c>
      <c r="P889" s="236" t="e">
        <f t="shared" si="124"/>
        <v>#DIV/0!</v>
      </c>
      <c r="Q889" s="195" t="e">
        <f t="shared" si="125"/>
        <v>#DIV/0!</v>
      </c>
      <c r="R889" s="195"/>
      <c r="S889" s="327" t="e">
        <f t="shared" si="126"/>
        <v>#DIV/0!</v>
      </c>
      <c r="T889" s="327" t="e">
        <f t="shared" si="127"/>
        <v>#DIV/0!</v>
      </c>
      <c r="U889" s="195"/>
      <c r="V889" s="197"/>
      <c r="W889" s="185"/>
      <c r="X889" s="141"/>
      <c r="Z889" s="187"/>
      <c r="AA889" s="187"/>
    </row>
    <row r="890" spans="1:27" s="186" customFormat="1" ht="15" customHeight="1">
      <c r="A890" s="215"/>
      <c r="B890" s="213" t="s">
        <v>411</v>
      </c>
      <c r="C890" s="298">
        <f>IF(R859="Inclinado",C889+2*SIN(RADIANS(Q859))*(I889+N859),C889+2*TAN(RADIANS(Q859))*(I889+N859))</f>
        <v>0</v>
      </c>
      <c r="D890" s="629">
        <f t="shared" si="130"/>
        <v>0</v>
      </c>
      <c r="E890" s="629">
        <f t="shared" si="130"/>
        <v>0</v>
      </c>
      <c r="F890" s="629">
        <f t="shared" si="130"/>
        <v>0</v>
      </c>
      <c r="G890" s="629">
        <f t="shared" si="130"/>
        <v>0</v>
      </c>
      <c r="H890" s="629">
        <f t="shared" si="130"/>
        <v>0</v>
      </c>
      <c r="I890" s="629">
        <f t="shared" si="130"/>
        <v>0</v>
      </c>
      <c r="J890" s="629">
        <f t="shared" si="130"/>
        <v>0</v>
      </c>
      <c r="K890" s="629">
        <f t="shared" si="130"/>
        <v>0</v>
      </c>
      <c r="L890" s="630" t="e">
        <f t="shared" si="122"/>
        <v>#DIV/0!</v>
      </c>
      <c r="M890" s="630" t="e">
        <f t="shared" si="123"/>
        <v>#DIV/0!</v>
      </c>
      <c r="N890" s="195"/>
      <c r="O890" s="615">
        <f t="shared" si="129"/>
        <v>360</v>
      </c>
      <c r="P890" s="236" t="e">
        <f t="shared" si="124"/>
        <v>#DIV/0!</v>
      </c>
      <c r="Q890" s="195" t="e">
        <f t="shared" si="125"/>
        <v>#DIV/0!</v>
      </c>
      <c r="R890" s="195"/>
      <c r="S890" s="327" t="e">
        <f t="shared" si="126"/>
        <v>#DIV/0!</v>
      </c>
      <c r="T890" s="327" t="e">
        <f t="shared" si="127"/>
        <v>#DIV/0!</v>
      </c>
      <c r="U890" s="195"/>
      <c r="V890" s="197"/>
      <c r="W890" s="185"/>
      <c r="X890" s="141"/>
      <c r="Z890" s="187"/>
      <c r="AA890" s="187"/>
    </row>
    <row r="891" spans="1:27" s="186" customFormat="1" ht="15" customHeight="1">
      <c r="A891" s="215"/>
      <c r="B891" s="213" t="s">
        <v>412</v>
      </c>
      <c r="C891" s="298">
        <f>IF(R859="Inclinado",C890+2*SIN(RADIANS(Q859))*(I890+N859),C890+2*TAN(RADIANS(Q859))*(I890+N859))</f>
        <v>0</v>
      </c>
      <c r="D891" s="629">
        <f t="shared" si="130"/>
        <v>0</v>
      </c>
      <c r="E891" s="629">
        <f t="shared" si="130"/>
        <v>0</v>
      </c>
      <c r="F891" s="629">
        <f t="shared" si="130"/>
        <v>0</v>
      </c>
      <c r="G891" s="629">
        <f t="shared" si="130"/>
        <v>0</v>
      </c>
      <c r="H891" s="629">
        <f t="shared" si="130"/>
        <v>0</v>
      </c>
      <c r="I891" s="629">
        <f t="shared" si="130"/>
        <v>0</v>
      </c>
      <c r="J891" s="629">
        <f t="shared" si="130"/>
        <v>0</v>
      </c>
      <c r="K891" s="629">
        <f t="shared" si="130"/>
        <v>0</v>
      </c>
      <c r="L891" s="630" t="e">
        <f t="shared" si="122"/>
        <v>#DIV/0!</v>
      </c>
      <c r="M891" s="630" t="e">
        <f t="shared" si="123"/>
        <v>#DIV/0!</v>
      </c>
      <c r="N891" s="195"/>
      <c r="O891" s="615">
        <f t="shared" si="129"/>
        <v>360</v>
      </c>
      <c r="P891" s="236" t="e">
        <f t="shared" si="124"/>
        <v>#DIV/0!</v>
      </c>
      <c r="Q891" s="195" t="e">
        <f t="shared" si="125"/>
        <v>#DIV/0!</v>
      </c>
      <c r="R891" s="195"/>
      <c r="S891" s="327" t="e">
        <f t="shared" si="126"/>
        <v>#DIV/0!</v>
      </c>
      <c r="T891" s="327" t="e">
        <f t="shared" si="127"/>
        <v>#DIV/0!</v>
      </c>
      <c r="U891" s="195"/>
      <c r="V891" s="197"/>
      <c r="W891" s="185"/>
      <c r="X891" s="141"/>
      <c r="Z891" s="187"/>
      <c r="AA891" s="187"/>
    </row>
    <row r="892" spans="1:27" s="186" customFormat="1" ht="15" customHeight="1">
      <c r="A892" s="215"/>
      <c r="B892" s="213" t="s">
        <v>413</v>
      </c>
      <c r="C892" s="298">
        <f>IF(R859="Inclinado",C891+2*SIN(RADIANS(Q859))*(I891+N859),C891+2*TAN(RADIANS(Q859))*(I891+N859))</f>
        <v>0</v>
      </c>
      <c r="D892" s="629">
        <f t="shared" si="130"/>
        <v>0</v>
      </c>
      <c r="E892" s="629">
        <f t="shared" si="130"/>
        <v>0</v>
      </c>
      <c r="F892" s="629">
        <f t="shared" si="130"/>
        <v>0</v>
      </c>
      <c r="G892" s="629">
        <f t="shared" si="130"/>
        <v>0</v>
      </c>
      <c r="H892" s="629">
        <f t="shared" si="130"/>
        <v>0</v>
      </c>
      <c r="I892" s="629">
        <f t="shared" si="130"/>
        <v>0</v>
      </c>
      <c r="J892" s="629">
        <f t="shared" si="130"/>
        <v>0</v>
      </c>
      <c r="K892" s="629">
        <f t="shared" si="130"/>
        <v>0</v>
      </c>
      <c r="L892" s="630" t="e">
        <f t="shared" si="122"/>
        <v>#DIV/0!</v>
      </c>
      <c r="M892" s="630" t="e">
        <f t="shared" si="123"/>
        <v>#DIV/0!</v>
      </c>
      <c r="N892" s="195"/>
      <c r="O892" s="615">
        <f t="shared" si="129"/>
        <v>360</v>
      </c>
      <c r="P892" s="236" t="e">
        <f t="shared" si="124"/>
        <v>#DIV/0!</v>
      </c>
      <c r="Q892" s="195" t="e">
        <f t="shared" si="125"/>
        <v>#DIV/0!</v>
      </c>
      <c r="R892" s="195"/>
      <c r="S892" s="327" t="e">
        <f t="shared" si="126"/>
        <v>#DIV/0!</v>
      </c>
      <c r="T892" s="327" t="e">
        <f t="shared" si="127"/>
        <v>#DIV/0!</v>
      </c>
      <c r="U892" s="195"/>
      <c r="V892" s="197"/>
      <c r="W892" s="185"/>
      <c r="X892" s="141"/>
      <c r="Z892" s="187"/>
      <c r="AA892" s="187"/>
    </row>
    <row r="893" spans="1:27" s="186" customFormat="1" ht="15" customHeight="1">
      <c r="A893" s="215"/>
      <c r="B893" s="213" t="s">
        <v>414</v>
      </c>
      <c r="C893" s="298">
        <f>IF(R859="Inclinado",C892+2*SIN(RADIANS(Q859))*(I892+N859),C892+2*TAN(RADIANS(Q859))*(I892+N859))</f>
        <v>0</v>
      </c>
      <c r="D893" s="629">
        <f t="shared" si="130"/>
        <v>0</v>
      </c>
      <c r="E893" s="629">
        <f t="shared" si="130"/>
        <v>0</v>
      </c>
      <c r="F893" s="629">
        <f t="shared" si="130"/>
        <v>0</v>
      </c>
      <c r="G893" s="629">
        <f t="shared" si="130"/>
        <v>0</v>
      </c>
      <c r="H893" s="629">
        <f t="shared" si="130"/>
        <v>0</v>
      </c>
      <c r="I893" s="629">
        <f t="shared" si="130"/>
        <v>0</v>
      </c>
      <c r="J893" s="629">
        <f t="shared" si="130"/>
        <v>0</v>
      </c>
      <c r="K893" s="629">
        <f t="shared" si="130"/>
        <v>0</v>
      </c>
      <c r="L893" s="630" t="e">
        <f t="shared" si="122"/>
        <v>#DIV/0!</v>
      </c>
      <c r="M893" s="630" t="e">
        <f t="shared" si="123"/>
        <v>#DIV/0!</v>
      </c>
      <c r="N893" s="195"/>
      <c r="O893" s="615">
        <f t="shared" si="129"/>
        <v>360</v>
      </c>
      <c r="P893" s="236" t="e">
        <f t="shared" si="124"/>
        <v>#DIV/0!</v>
      </c>
      <c r="Q893" s="195" t="e">
        <f t="shared" si="125"/>
        <v>#DIV/0!</v>
      </c>
      <c r="R893" s="195"/>
      <c r="S893" s="327" t="e">
        <f t="shared" si="126"/>
        <v>#DIV/0!</v>
      </c>
      <c r="T893" s="327" t="e">
        <f t="shared" si="127"/>
        <v>#DIV/0!</v>
      </c>
      <c r="U893" s="195"/>
      <c r="V893" s="197"/>
      <c r="W893" s="185"/>
      <c r="X893" s="141"/>
      <c r="Z893" s="187"/>
      <c r="AA893" s="187"/>
    </row>
    <row r="894" spans="1:27" s="186" customFormat="1" ht="15" customHeight="1">
      <c r="A894" s="215"/>
      <c r="B894" s="213" t="s">
        <v>415</v>
      </c>
      <c r="C894" s="298">
        <f>IF(R859="Inclinado",C893+2*SIN(RADIANS(Q859))*(I893+N859),C893+2*TAN(RADIANS(Q859))*(I893+N859))</f>
        <v>0</v>
      </c>
      <c r="D894" s="629">
        <f t="shared" si="130"/>
        <v>0</v>
      </c>
      <c r="E894" s="629">
        <f t="shared" si="130"/>
        <v>0</v>
      </c>
      <c r="F894" s="629">
        <f t="shared" si="130"/>
        <v>0</v>
      </c>
      <c r="G894" s="629">
        <f t="shared" si="130"/>
        <v>0</v>
      </c>
      <c r="H894" s="629">
        <f t="shared" si="130"/>
        <v>0</v>
      </c>
      <c r="I894" s="629">
        <f t="shared" si="130"/>
        <v>0</v>
      </c>
      <c r="J894" s="629">
        <f t="shared" si="130"/>
        <v>0</v>
      </c>
      <c r="K894" s="629">
        <f t="shared" si="130"/>
        <v>0</v>
      </c>
      <c r="L894" s="630" t="e">
        <f t="shared" si="122"/>
        <v>#DIV/0!</v>
      </c>
      <c r="M894" s="630" t="e">
        <f t="shared" si="123"/>
        <v>#DIV/0!</v>
      </c>
      <c r="N894" s="195"/>
      <c r="O894" s="615">
        <f t="shared" si="129"/>
        <v>360</v>
      </c>
      <c r="P894" s="236" t="e">
        <f t="shared" si="124"/>
        <v>#DIV/0!</v>
      </c>
      <c r="Q894" s="195" t="e">
        <f t="shared" si="125"/>
        <v>#DIV/0!</v>
      </c>
      <c r="R894" s="195"/>
      <c r="S894" s="327" t="e">
        <f t="shared" si="126"/>
        <v>#DIV/0!</v>
      </c>
      <c r="T894" s="327" t="e">
        <f t="shared" si="127"/>
        <v>#DIV/0!</v>
      </c>
      <c r="U894" s="195"/>
      <c r="V894" s="197"/>
      <c r="W894" s="185"/>
      <c r="X894" s="141"/>
      <c r="Z894" s="187"/>
      <c r="AA894" s="187"/>
    </row>
    <row r="895" spans="1:27" s="186" customFormat="1" ht="15" customHeight="1">
      <c r="A895" s="215"/>
      <c r="B895" s="213" t="s">
        <v>416</v>
      </c>
      <c r="C895" s="298">
        <f>IF(R859="Inclinado",C894+2*SIN(RADIANS(Q859))*(I894+N859),C894+2*TAN(RADIANS(Q859))*(I894+N859))</f>
        <v>0</v>
      </c>
      <c r="D895" s="629">
        <f t="shared" si="130"/>
        <v>0</v>
      </c>
      <c r="E895" s="629">
        <f t="shared" si="130"/>
        <v>0</v>
      </c>
      <c r="F895" s="629">
        <f t="shared" si="130"/>
        <v>0</v>
      </c>
      <c r="G895" s="629">
        <f t="shared" si="130"/>
        <v>0</v>
      </c>
      <c r="H895" s="629">
        <f t="shared" si="130"/>
        <v>0</v>
      </c>
      <c r="I895" s="629">
        <f t="shared" si="130"/>
        <v>0</v>
      </c>
      <c r="J895" s="629">
        <f t="shared" si="130"/>
        <v>0</v>
      </c>
      <c r="K895" s="629">
        <f t="shared" si="130"/>
        <v>0</v>
      </c>
      <c r="L895" s="630" t="e">
        <f t="shared" si="122"/>
        <v>#DIV/0!</v>
      </c>
      <c r="M895" s="630" t="e">
        <f t="shared" si="123"/>
        <v>#DIV/0!</v>
      </c>
      <c r="N895" s="195"/>
      <c r="O895" s="615">
        <f t="shared" si="129"/>
        <v>360</v>
      </c>
      <c r="P895" s="236" t="e">
        <f t="shared" si="124"/>
        <v>#DIV/0!</v>
      </c>
      <c r="Q895" s="195" t="e">
        <f t="shared" si="125"/>
        <v>#DIV/0!</v>
      </c>
      <c r="R895" s="195"/>
      <c r="S895" s="327" t="e">
        <f t="shared" si="126"/>
        <v>#DIV/0!</v>
      </c>
      <c r="T895" s="327" t="e">
        <f>((F895*(L895+K895)+H895*(M895+K895))/PI()-(C895-(J895*2)))/(P895+Q895)</f>
        <v>#DIV/0!</v>
      </c>
      <c r="U895" s="195"/>
      <c r="V895" s="197"/>
      <c r="W895" s="185"/>
      <c r="X895" s="141"/>
      <c r="Z895" s="187"/>
      <c r="AA895" s="187"/>
    </row>
    <row r="896" spans="1:27" s="186" customFormat="1" ht="15" customHeight="1">
      <c r="A896" s="215"/>
      <c r="B896" s="213" t="s">
        <v>417</v>
      </c>
      <c r="C896" s="298">
        <f>IF(R859="Inclinado",C895+2*SIN(RADIANS(Q859))*(I895+N859),C895+2*TAN(RADIANS(Q859))*(I895+N859))</f>
        <v>0</v>
      </c>
      <c r="D896" s="629">
        <f t="shared" si="130"/>
        <v>0</v>
      </c>
      <c r="E896" s="629">
        <f t="shared" si="130"/>
        <v>0</v>
      </c>
      <c r="F896" s="629">
        <f t="shared" si="130"/>
        <v>0</v>
      </c>
      <c r="G896" s="629">
        <f t="shared" si="130"/>
        <v>0</v>
      </c>
      <c r="H896" s="629">
        <f t="shared" si="130"/>
        <v>0</v>
      </c>
      <c r="I896" s="629">
        <f t="shared" si="130"/>
        <v>0</v>
      </c>
      <c r="J896" s="629">
        <f t="shared" si="130"/>
        <v>0</v>
      </c>
      <c r="K896" s="629">
        <f t="shared" si="130"/>
        <v>0</v>
      </c>
      <c r="L896" s="630" t="e">
        <f t="shared" si="122"/>
        <v>#DIV/0!</v>
      </c>
      <c r="M896" s="630" t="e">
        <f t="shared" si="123"/>
        <v>#DIV/0!</v>
      </c>
      <c r="N896" s="195"/>
      <c r="O896" s="615">
        <f t="shared" si="129"/>
        <v>360</v>
      </c>
      <c r="P896" s="236" t="e">
        <f t="shared" si="124"/>
        <v>#DIV/0!</v>
      </c>
      <c r="Q896" s="195" t="e">
        <f t="shared" si="125"/>
        <v>#DIV/0!</v>
      </c>
      <c r="R896" s="195"/>
      <c r="S896" s="327" t="e">
        <f t="shared" si="126"/>
        <v>#DIV/0!</v>
      </c>
      <c r="T896" s="327" t="e">
        <f t="shared" ref="T896:T927" si="131">((F896*(L896+K896)+H896*(M896+K896))/PI()-(C896-(J896*2)))/(P896+Q896)</f>
        <v>#DIV/0!</v>
      </c>
      <c r="U896" s="195"/>
      <c r="V896" s="197"/>
      <c r="W896" s="185"/>
      <c r="X896" s="141"/>
      <c r="Z896" s="187"/>
      <c r="AA896" s="187"/>
    </row>
    <row r="897" spans="1:27" s="186" customFormat="1" ht="15" customHeight="1">
      <c r="A897" s="215"/>
      <c r="B897" s="213" t="s">
        <v>418</v>
      </c>
      <c r="C897" s="298">
        <f>IF(R859="Inclinado",C896+2*SIN(RADIANS(Q859))*(I896+N859),C896+2*TAN(RADIANS(Q859))*(I896+N859))</f>
        <v>0</v>
      </c>
      <c r="D897" s="629">
        <f t="shared" si="130"/>
        <v>0</v>
      </c>
      <c r="E897" s="629">
        <f t="shared" si="130"/>
        <v>0</v>
      </c>
      <c r="F897" s="629">
        <f t="shared" si="130"/>
        <v>0</v>
      </c>
      <c r="G897" s="629">
        <f t="shared" si="130"/>
        <v>0</v>
      </c>
      <c r="H897" s="629">
        <f t="shared" si="130"/>
        <v>0</v>
      </c>
      <c r="I897" s="629">
        <f t="shared" si="130"/>
        <v>0</v>
      </c>
      <c r="J897" s="629">
        <f t="shared" si="130"/>
        <v>0</v>
      </c>
      <c r="K897" s="629">
        <f t="shared" si="130"/>
        <v>0</v>
      </c>
      <c r="L897" s="630" t="e">
        <f t="shared" si="122"/>
        <v>#DIV/0!</v>
      </c>
      <c r="M897" s="630" t="e">
        <f t="shared" si="123"/>
        <v>#DIV/0!</v>
      </c>
      <c r="N897" s="195"/>
      <c r="O897" s="615">
        <f t="shared" si="129"/>
        <v>360</v>
      </c>
      <c r="P897" s="236" t="e">
        <f t="shared" si="124"/>
        <v>#DIV/0!</v>
      </c>
      <c r="Q897" s="195" t="e">
        <f t="shared" si="125"/>
        <v>#DIV/0!</v>
      </c>
      <c r="R897" s="195"/>
      <c r="S897" s="327" t="e">
        <f t="shared" si="126"/>
        <v>#DIV/0!</v>
      </c>
      <c r="T897" s="327" t="e">
        <f t="shared" si="131"/>
        <v>#DIV/0!</v>
      </c>
      <c r="U897" s="195"/>
      <c r="V897" s="197"/>
      <c r="W897" s="185"/>
      <c r="X897" s="141"/>
      <c r="Z897" s="187"/>
      <c r="AA897" s="187"/>
    </row>
    <row r="898" spans="1:27" s="186" customFormat="1" ht="15" customHeight="1">
      <c r="A898" s="215"/>
      <c r="B898" s="213" t="s">
        <v>419</v>
      </c>
      <c r="C898" s="298">
        <f>IF(R859="Inclinado",C897+2*SIN(RADIANS(Q859))*(I897+N859),C897+2*TAN(RADIANS(Q859))*(I897+N859))</f>
        <v>0</v>
      </c>
      <c r="D898" s="629">
        <f t="shared" si="130"/>
        <v>0</v>
      </c>
      <c r="E898" s="629">
        <f t="shared" si="130"/>
        <v>0</v>
      </c>
      <c r="F898" s="629">
        <f t="shared" si="130"/>
        <v>0</v>
      </c>
      <c r="G898" s="629">
        <f t="shared" si="130"/>
        <v>0</v>
      </c>
      <c r="H898" s="629">
        <f t="shared" si="130"/>
        <v>0</v>
      </c>
      <c r="I898" s="629">
        <f t="shared" si="130"/>
        <v>0</v>
      </c>
      <c r="J898" s="629">
        <f t="shared" si="130"/>
        <v>0</v>
      </c>
      <c r="K898" s="629">
        <f t="shared" si="130"/>
        <v>0</v>
      </c>
      <c r="L898" s="630" t="e">
        <f t="shared" si="122"/>
        <v>#DIV/0!</v>
      </c>
      <c r="M898" s="630" t="e">
        <f t="shared" si="123"/>
        <v>#DIV/0!</v>
      </c>
      <c r="N898" s="195"/>
      <c r="O898" s="615">
        <f t="shared" si="129"/>
        <v>360</v>
      </c>
      <c r="P898" s="236" t="e">
        <f t="shared" si="124"/>
        <v>#DIV/0!</v>
      </c>
      <c r="Q898" s="195" t="e">
        <f t="shared" si="125"/>
        <v>#DIV/0!</v>
      </c>
      <c r="R898" s="195"/>
      <c r="S898" s="327" t="e">
        <f t="shared" si="126"/>
        <v>#DIV/0!</v>
      </c>
      <c r="T898" s="327" t="e">
        <f t="shared" si="131"/>
        <v>#DIV/0!</v>
      </c>
      <c r="U898" s="195"/>
      <c r="V898" s="197"/>
      <c r="W898" s="185"/>
      <c r="X898" s="141"/>
      <c r="Z898" s="187"/>
      <c r="AA898" s="187"/>
    </row>
    <row r="899" spans="1:27" s="186" customFormat="1" ht="15" customHeight="1">
      <c r="A899" s="215"/>
      <c r="B899" s="213" t="s">
        <v>420</v>
      </c>
      <c r="C899" s="298">
        <f>IF(R859="Inclinado",C898+2*SIN(RADIANS(Q859))*(I898+N859),C898+2*TAN(RADIANS(Q859))*(I898+N859))</f>
        <v>0</v>
      </c>
      <c r="D899" s="629">
        <f t="shared" si="130"/>
        <v>0</v>
      </c>
      <c r="E899" s="629">
        <f t="shared" si="130"/>
        <v>0</v>
      </c>
      <c r="F899" s="629">
        <f t="shared" si="130"/>
        <v>0</v>
      </c>
      <c r="G899" s="629">
        <f t="shared" si="130"/>
        <v>0</v>
      </c>
      <c r="H899" s="629">
        <f t="shared" si="130"/>
        <v>0</v>
      </c>
      <c r="I899" s="629">
        <f t="shared" si="130"/>
        <v>0</v>
      </c>
      <c r="J899" s="629">
        <f t="shared" si="130"/>
        <v>0</v>
      </c>
      <c r="K899" s="629">
        <f t="shared" si="130"/>
        <v>0</v>
      </c>
      <c r="L899" s="630" t="e">
        <f t="shared" si="122"/>
        <v>#DIV/0!</v>
      </c>
      <c r="M899" s="630" t="e">
        <f t="shared" si="123"/>
        <v>#DIV/0!</v>
      </c>
      <c r="N899" s="195"/>
      <c r="O899" s="615">
        <f t="shared" si="129"/>
        <v>360</v>
      </c>
      <c r="P899" s="236" t="e">
        <f t="shared" si="124"/>
        <v>#DIV/0!</v>
      </c>
      <c r="Q899" s="195" t="e">
        <f t="shared" si="125"/>
        <v>#DIV/0!</v>
      </c>
      <c r="R899" s="195"/>
      <c r="S899" s="327" t="e">
        <f t="shared" si="126"/>
        <v>#DIV/0!</v>
      </c>
      <c r="T899" s="327" t="e">
        <f t="shared" si="131"/>
        <v>#DIV/0!</v>
      </c>
      <c r="U899" s="195"/>
      <c r="V899" s="197"/>
      <c r="W899" s="185"/>
      <c r="X899" s="141"/>
      <c r="Z899" s="187"/>
      <c r="AA899" s="187"/>
    </row>
    <row r="900" spans="1:27" s="186" customFormat="1" ht="15" customHeight="1">
      <c r="A900" s="215"/>
      <c r="B900" s="213" t="s">
        <v>990</v>
      </c>
      <c r="C900" s="298">
        <f>IF(R859="Inclinado",C899+2*SIN(RADIANS(Q859))*(I899+N859),C899+2*TAN(RADIANS(Q859))*(I899+N859))</f>
        <v>0</v>
      </c>
      <c r="D900" s="629">
        <f t="shared" si="130"/>
        <v>0</v>
      </c>
      <c r="E900" s="629">
        <f t="shared" si="130"/>
        <v>0</v>
      </c>
      <c r="F900" s="629">
        <f t="shared" si="130"/>
        <v>0</v>
      </c>
      <c r="G900" s="629">
        <f t="shared" si="130"/>
        <v>0</v>
      </c>
      <c r="H900" s="629">
        <f t="shared" si="130"/>
        <v>0</v>
      </c>
      <c r="I900" s="629">
        <f t="shared" si="130"/>
        <v>0</v>
      </c>
      <c r="J900" s="629">
        <f t="shared" si="130"/>
        <v>0</v>
      </c>
      <c r="K900" s="629">
        <f t="shared" si="130"/>
        <v>0</v>
      </c>
      <c r="L900" s="630" t="e">
        <f t="shared" si="122"/>
        <v>#DIV/0!</v>
      </c>
      <c r="M900" s="630" t="e">
        <f t="shared" si="123"/>
        <v>#DIV/0!</v>
      </c>
      <c r="N900" s="195"/>
      <c r="O900" s="615">
        <f t="shared" si="129"/>
        <v>360</v>
      </c>
      <c r="P900" s="236" t="e">
        <f t="shared" si="124"/>
        <v>#DIV/0!</v>
      </c>
      <c r="Q900" s="195" t="e">
        <f t="shared" si="125"/>
        <v>#DIV/0!</v>
      </c>
      <c r="R900" s="195"/>
      <c r="S900" s="327" t="e">
        <f t="shared" si="126"/>
        <v>#DIV/0!</v>
      </c>
      <c r="T900" s="327" t="e">
        <f t="shared" si="131"/>
        <v>#DIV/0!</v>
      </c>
      <c r="U900" s="195"/>
      <c r="V900" s="197"/>
      <c r="W900" s="185"/>
      <c r="X900" s="141"/>
      <c r="Z900" s="187"/>
      <c r="AA900" s="187"/>
    </row>
    <row r="901" spans="1:27" s="186" customFormat="1" ht="15" customHeight="1">
      <c r="A901" s="215"/>
      <c r="B901" s="213" t="s">
        <v>991</v>
      </c>
      <c r="C901" s="298">
        <f>IF(R859="Inclinado",C900+2*SIN(RADIANS(Q859))*(I900+N859),C900+2*TAN(RADIANS(Q859))*(I900+N859))</f>
        <v>0</v>
      </c>
      <c r="D901" s="629">
        <f t="shared" si="130"/>
        <v>0</v>
      </c>
      <c r="E901" s="629">
        <f t="shared" si="130"/>
        <v>0</v>
      </c>
      <c r="F901" s="629">
        <f t="shared" si="130"/>
        <v>0</v>
      </c>
      <c r="G901" s="629">
        <f t="shared" si="130"/>
        <v>0</v>
      </c>
      <c r="H901" s="629">
        <f t="shared" si="130"/>
        <v>0</v>
      </c>
      <c r="I901" s="629">
        <f t="shared" si="130"/>
        <v>0</v>
      </c>
      <c r="J901" s="629">
        <f t="shared" si="130"/>
        <v>0</v>
      </c>
      <c r="K901" s="629">
        <f t="shared" si="130"/>
        <v>0</v>
      </c>
      <c r="L901" s="630" t="e">
        <f t="shared" si="122"/>
        <v>#DIV/0!</v>
      </c>
      <c r="M901" s="630" t="e">
        <f t="shared" si="123"/>
        <v>#DIV/0!</v>
      </c>
      <c r="N901" s="195"/>
      <c r="O901" s="615">
        <f t="shared" si="129"/>
        <v>360</v>
      </c>
      <c r="P901" s="236" t="e">
        <f t="shared" si="124"/>
        <v>#DIV/0!</v>
      </c>
      <c r="Q901" s="195" t="e">
        <f t="shared" si="125"/>
        <v>#DIV/0!</v>
      </c>
      <c r="R901" s="195"/>
      <c r="S901" s="327" t="e">
        <f t="shared" si="126"/>
        <v>#DIV/0!</v>
      </c>
      <c r="T901" s="327" t="e">
        <f t="shared" si="131"/>
        <v>#DIV/0!</v>
      </c>
      <c r="U901" s="195"/>
      <c r="V901" s="197"/>
      <c r="W901" s="185"/>
      <c r="X901" s="141"/>
      <c r="Z901" s="187"/>
      <c r="AA901" s="187"/>
    </row>
    <row r="902" spans="1:27" s="186" customFormat="1" ht="15" customHeight="1">
      <c r="A902" s="215"/>
      <c r="B902" s="213" t="s">
        <v>992</v>
      </c>
      <c r="C902" s="298">
        <f>IF(R859="Inclinado",C901+2*SIN(RADIANS(Q859))*(I901+N859),C901+2*TAN(RADIANS(Q859))*(I901+N859))</f>
        <v>0</v>
      </c>
      <c r="D902" s="629">
        <f t="shared" si="130"/>
        <v>0</v>
      </c>
      <c r="E902" s="629">
        <f t="shared" si="130"/>
        <v>0</v>
      </c>
      <c r="F902" s="629">
        <f t="shared" si="130"/>
        <v>0</v>
      </c>
      <c r="G902" s="629">
        <f t="shared" si="130"/>
        <v>0</v>
      </c>
      <c r="H902" s="629">
        <f t="shared" si="130"/>
        <v>0</v>
      </c>
      <c r="I902" s="629">
        <f t="shared" si="130"/>
        <v>0</v>
      </c>
      <c r="J902" s="629">
        <f t="shared" si="130"/>
        <v>0</v>
      </c>
      <c r="K902" s="629">
        <f t="shared" si="130"/>
        <v>0</v>
      </c>
      <c r="L902" s="630" t="e">
        <f t="shared" si="122"/>
        <v>#DIV/0!</v>
      </c>
      <c r="M902" s="630" t="e">
        <f t="shared" si="123"/>
        <v>#DIV/0!</v>
      </c>
      <c r="N902" s="195"/>
      <c r="O902" s="615">
        <f t="shared" si="129"/>
        <v>360</v>
      </c>
      <c r="P902" s="236" t="e">
        <f t="shared" si="124"/>
        <v>#DIV/0!</v>
      </c>
      <c r="Q902" s="195" t="e">
        <f t="shared" si="125"/>
        <v>#DIV/0!</v>
      </c>
      <c r="R902" s="195"/>
      <c r="S902" s="327" t="e">
        <f t="shared" si="126"/>
        <v>#DIV/0!</v>
      </c>
      <c r="T902" s="327" t="e">
        <f t="shared" si="131"/>
        <v>#DIV/0!</v>
      </c>
      <c r="U902" s="195"/>
      <c r="V902" s="197"/>
      <c r="W902" s="185"/>
      <c r="X902" s="141"/>
      <c r="Z902" s="187"/>
      <c r="AA902" s="187"/>
    </row>
    <row r="903" spans="1:27" s="186" customFormat="1" ht="15" customHeight="1">
      <c r="A903" s="215"/>
      <c r="B903" s="213" t="s">
        <v>993</v>
      </c>
      <c r="C903" s="298">
        <f>IF(R859="Inclinado",C902+2*SIN(RADIANS(Q859))*(I902+N859),C902+2*TAN(RADIANS(Q859))*(I902+N859))</f>
        <v>0</v>
      </c>
      <c r="D903" s="629">
        <f t="shared" ref="D903:K918" si="132">D902</f>
        <v>0</v>
      </c>
      <c r="E903" s="629">
        <f t="shared" si="132"/>
        <v>0</v>
      </c>
      <c r="F903" s="629">
        <f t="shared" si="132"/>
        <v>0</v>
      </c>
      <c r="G903" s="629">
        <f t="shared" si="132"/>
        <v>0</v>
      </c>
      <c r="H903" s="629">
        <f t="shared" si="132"/>
        <v>0</v>
      </c>
      <c r="I903" s="629">
        <f t="shared" si="132"/>
        <v>0</v>
      </c>
      <c r="J903" s="629">
        <f t="shared" si="132"/>
        <v>0</v>
      </c>
      <c r="K903" s="629">
        <f t="shared" si="132"/>
        <v>0</v>
      </c>
      <c r="L903" s="630" t="e">
        <f t="shared" si="122"/>
        <v>#DIV/0!</v>
      </c>
      <c r="M903" s="630" t="e">
        <f t="shared" si="123"/>
        <v>#DIV/0!</v>
      </c>
      <c r="N903" s="195"/>
      <c r="O903" s="615">
        <f t="shared" si="129"/>
        <v>360</v>
      </c>
      <c r="P903" s="236" t="e">
        <f t="shared" si="124"/>
        <v>#DIV/0!</v>
      </c>
      <c r="Q903" s="195" t="e">
        <f t="shared" si="125"/>
        <v>#DIV/0!</v>
      </c>
      <c r="R903" s="195"/>
      <c r="S903" s="327" t="e">
        <f t="shared" si="126"/>
        <v>#DIV/0!</v>
      </c>
      <c r="T903" s="327" t="e">
        <f t="shared" si="131"/>
        <v>#DIV/0!</v>
      </c>
      <c r="U903" s="195"/>
      <c r="V903" s="197"/>
      <c r="W903" s="185"/>
      <c r="X903" s="141"/>
      <c r="Z903" s="187"/>
      <c r="AA903" s="187"/>
    </row>
    <row r="904" spans="1:27" s="186" customFormat="1" ht="15" customHeight="1">
      <c r="A904" s="215"/>
      <c r="B904" s="213" t="s">
        <v>994</v>
      </c>
      <c r="C904" s="298">
        <f>IF(R859="Inclinado",C903+2*SIN(RADIANS(Q859))*(I903+N859),C903+2*TAN(RADIANS(Q859))*(I903+N859))</f>
        <v>0</v>
      </c>
      <c r="D904" s="629">
        <f t="shared" si="132"/>
        <v>0</v>
      </c>
      <c r="E904" s="629">
        <f t="shared" si="132"/>
        <v>0</v>
      </c>
      <c r="F904" s="629">
        <f t="shared" si="132"/>
        <v>0</v>
      </c>
      <c r="G904" s="629">
        <f t="shared" si="132"/>
        <v>0</v>
      </c>
      <c r="H904" s="629">
        <f t="shared" si="132"/>
        <v>0</v>
      </c>
      <c r="I904" s="629">
        <f t="shared" si="132"/>
        <v>0</v>
      </c>
      <c r="J904" s="629">
        <f t="shared" si="132"/>
        <v>0</v>
      </c>
      <c r="K904" s="629">
        <f t="shared" si="132"/>
        <v>0</v>
      </c>
      <c r="L904" s="630" t="e">
        <f t="shared" si="122"/>
        <v>#DIV/0!</v>
      </c>
      <c r="M904" s="630" t="e">
        <f t="shared" si="123"/>
        <v>#DIV/0!</v>
      </c>
      <c r="N904" s="195"/>
      <c r="O904" s="615">
        <f t="shared" si="129"/>
        <v>360</v>
      </c>
      <c r="P904" s="236" t="e">
        <f t="shared" si="124"/>
        <v>#DIV/0!</v>
      </c>
      <c r="Q904" s="195" t="e">
        <f t="shared" si="125"/>
        <v>#DIV/0!</v>
      </c>
      <c r="R904" s="195"/>
      <c r="S904" s="327" t="e">
        <f t="shared" si="126"/>
        <v>#DIV/0!</v>
      </c>
      <c r="T904" s="327" t="e">
        <f t="shared" si="131"/>
        <v>#DIV/0!</v>
      </c>
      <c r="U904" s="195"/>
      <c r="V904" s="197"/>
      <c r="W904" s="185"/>
      <c r="X904" s="141"/>
      <c r="Z904" s="187"/>
      <c r="AA904" s="187"/>
    </row>
    <row r="905" spans="1:27" s="186" customFormat="1" ht="15" customHeight="1">
      <c r="A905" s="215"/>
      <c r="B905" s="213" t="s">
        <v>995</v>
      </c>
      <c r="C905" s="298">
        <f>IF(R859="Inclinado",C904+2*SIN(RADIANS(Q859))*(I904+N859),C904+2*TAN(RADIANS(Q859))*(I904+N859))</f>
        <v>0</v>
      </c>
      <c r="D905" s="629">
        <f t="shared" si="132"/>
        <v>0</v>
      </c>
      <c r="E905" s="629">
        <f t="shared" si="132"/>
        <v>0</v>
      </c>
      <c r="F905" s="629">
        <f t="shared" si="132"/>
        <v>0</v>
      </c>
      <c r="G905" s="629">
        <f t="shared" si="132"/>
        <v>0</v>
      </c>
      <c r="H905" s="629">
        <f t="shared" si="132"/>
        <v>0</v>
      </c>
      <c r="I905" s="629">
        <f t="shared" si="132"/>
        <v>0</v>
      </c>
      <c r="J905" s="629">
        <f t="shared" si="132"/>
        <v>0</v>
      </c>
      <c r="K905" s="629">
        <f t="shared" si="132"/>
        <v>0</v>
      </c>
      <c r="L905" s="630" t="e">
        <f t="shared" si="122"/>
        <v>#DIV/0!</v>
      </c>
      <c r="M905" s="630" t="e">
        <f t="shared" si="123"/>
        <v>#DIV/0!</v>
      </c>
      <c r="N905" s="195"/>
      <c r="O905" s="615">
        <f t="shared" si="129"/>
        <v>360</v>
      </c>
      <c r="P905" s="236" t="e">
        <f t="shared" si="124"/>
        <v>#DIV/0!</v>
      </c>
      <c r="Q905" s="195" t="e">
        <f t="shared" si="125"/>
        <v>#DIV/0!</v>
      </c>
      <c r="R905" s="195"/>
      <c r="S905" s="327" t="e">
        <f t="shared" si="126"/>
        <v>#DIV/0!</v>
      </c>
      <c r="T905" s="327" t="e">
        <f t="shared" si="131"/>
        <v>#DIV/0!</v>
      </c>
      <c r="U905" s="195"/>
      <c r="V905" s="197"/>
      <c r="W905" s="185"/>
      <c r="X905" s="141"/>
      <c r="Z905" s="187"/>
      <c r="AA905" s="187"/>
    </row>
    <row r="906" spans="1:27" s="186" customFormat="1" ht="15" customHeight="1">
      <c r="A906" s="215"/>
      <c r="B906" s="213" t="s">
        <v>996</v>
      </c>
      <c r="C906" s="298">
        <f>IF(R859="Inclinado",C905+2*SIN(RADIANS(Q859))*(I905+N859),C905+2*TAN(RADIANS(Q859))*(I905+N859))</f>
        <v>0</v>
      </c>
      <c r="D906" s="629">
        <f t="shared" si="132"/>
        <v>0</v>
      </c>
      <c r="E906" s="629">
        <f t="shared" si="132"/>
        <v>0</v>
      </c>
      <c r="F906" s="629">
        <f t="shared" si="132"/>
        <v>0</v>
      </c>
      <c r="G906" s="629">
        <f t="shared" si="132"/>
        <v>0</v>
      </c>
      <c r="H906" s="629">
        <f t="shared" si="132"/>
        <v>0</v>
      </c>
      <c r="I906" s="629">
        <f t="shared" si="132"/>
        <v>0</v>
      </c>
      <c r="J906" s="629">
        <f t="shared" si="132"/>
        <v>0</v>
      </c>
      <c r="K906" s="629">
        <f t="shared" si="132"/>
        <v>0</v>
      </c>
      <c r="L906" s="630" t="e">
        <f t="shared" si="122"/>
        <v>#DIV/0!</v>
      </c>
      <c r="M906" s="630" t="e">
        <f t="shared" si="123"/>
        <v>#DIV/0!</v>
      </c>
      <c r="N906" s="195"/>
      <c r="O906" s="615">
        <f t="shared" si="129"/>
        <v>360</v>
      </c>
      <c r="P906" s="236" t="e">
        <f t="shared" si="124"/>
        <v>#DIV/0!</v>
      </c>
      <c r="Q906" s="195" t="e">
        <f t="shared" si="125"/>
        <v>#DIV/0!</v>
      </c>
      <c r="R906" s="195"/>
      <c r="S906" s="327" t="e">
        <f t="shared" si="126"/>
        <v>#DIV/0!</v>
      </c>
      <c r="T906" s="327" t="e">
        <f t="shared" si="131"/>
        <v>#DIV/0!</v>
      </c>
      <c r="U906" s="195"/>
      <c r="V906" s="197"/>
      <c r="W906" s="185"/>
      <c r="X906" s="141"/>
      <c r="Z906" s="187"/>
      <c r="AA906" s="187"/>
    </row>
    <row r="907" spans="1:27" s="186" customFormat="1" ht="15" customHeight="1">
      <c r="A907" s="215"/>
      <c r="B907" s="213" t="s">
        <v>997</v>
      </c>
      <c r="C907" s="298">
        <f>IF(R859="Inclinado",C906+2*SIN(RADIANS(Q859))*(I906+N859),C906+2*TAN(RADIANS(Q859))*(I906+N859))</f>
        <v>0</v>
      </c>
      <c r="D907" s="629">
        <f t="shared" si="132"/>
        <v>0</v>
      </c>
      <c r="E907" s="629">
        <f t="shared" si="132"/>
        <v>0</v>
      </c>
      <c r="F907" s="629">
        <f t="shared" si="132"/>
        <v>0</v>
      </c>
      <c r="G907" s="629">
        <f t="shared" si="132"/>
        <v>0</v>
      </c>
      <c r="H907" s="629">
        <f t="shared" si="132"/>
        <v>0</v>
      </c>
      <c r="I907" s="629">
        <f t="shared" si="132"/>
        <v>0</v>
      </c>
      <c r="J907" s="629">
        <f t="shared" si="132"/>
        <v>0</v>
      </c>
      <c r="K907" s="629">
        <f t="shared" si="132"/>
        <v>0</v>
      </c>
      <c r="L907" s="630" t="e">
        <f t="shared" si="122"/>
        <v>#DIV/0!</v>
      </c>
      <c r="M907" s="630" t="e">
        <f t="shared" si="123"/>
        <v>#DIV/0!</v>
      </c>
      <c r="N907" s="195"/>
      <c r="O907" s="615">
        <f t="shared" si="129"/>
        <v>360</v>
      </c>
      <c r="P907" s="236" t="e">
        <f t="shared" si="124"/>
        <v>#DIV/0!</v>
      </c>
      <c r="Q907" s="195" t="e">
        <f t="shared" si="125"/>
        <v>#DIV/0!</v>
      </c>
      <c r="R907" s="195"/>
      <c r="S907" s="327" t="e">
        <f t="shared" si="126"/>
        <v>#DIV/0!</v>
      </c>
      <c r="T907" s="327" t="e">
        <f t="shared" si="131"/>
        <v>#DIV/0!</v>
      </c>
      <c r="U907" s="195"/>
      <c r="V907" s="197"/>
      <c r="W907" s="185"/>
      <c r="X907" s="141"/>
      <c r="Z907" s="187"/>
      <c r="AA907" s="187"/>
    </row>
    <row r="908" spans="1:27" s="186" customFormat="1" ht="15" customHeight="1">
      <c r="A908" s="215"/>
      <c r="B908" s="213" t="s">
        <v>998</v>
      </c>
      <c r="C908" s="298">
        <f>IF(R859="Inclinado",C907+2*SIN(RADIANS(Q859))*(I907+N859),C907+2*TAN(RADIANS(Q859))*(I907+N859))</f>
        <v>0</v>
      </c>
      <c r="D908" s="629">
        <f t="shared" si="132"/>
        <v>0</v>
      </c>
      <c r="E908" s="629">
        <f t="shared" si="132"/>
        <v>0</v>
      </c>
      <c r="F908" s="629">
        <f t="shared" si="132"/>
        <v>0</v>
      </c>
      <c r="G908" s="629">
        <f t="shared" si="132"/>
        <v>0</v>
      </c>
      <c r="H908" s="629">
        <f t="shared" si="132"/>
        <v>0</v>
      </c>
      <c r="I908" s="629">
        <f t="shared" si="132"/>
        <v>0</v>
      </c>
      <c r="J908" s="629">
        <f t="shared" si="132"/>
        <v>0</v>
      </c>
      <c r="K908" s="629">
        <f t="shared" si="132"/>
        <v>0</v>
      </c>
      <c r="L908" s="630" t="e">
        <f t="shared" si="122"/>
        <v>#DIV/0!</v>
      </c>
      <c r="M908" s="630" t="e">
        <f t="shared" si="123"/>
        <v>#DIV/0!</v>
      </c>
      <c r="N908" s="195"/>
      <c r="O908" s="615">
        <f t="shared" si="129"/>
        <v>360</v>
      </c>
      <c r="P908" s="236" t="e">
        <f t="shared" si="124"/>
        <v>#DIV/0!</v>
      </c>
      <c r="Q908" s="195" t="e">
        <f t="shared" si="125"/>
        <v>#DIV/0!</v>
      </c>
      <c r="R908" s="195"/>
      <c r="S908" s="327" t="e">
        <f t="shared" si="126"/>
        <v>#DIV/0!</v>
      </c>
      <c r="T908" s="327" t="e">
        <f t="shared" si="131"/>
        <v>#DIV/0!</v>
      </c>
      <c r="U908" s="195"/>
      <c r="V908" s="197"/>
      <c r="W908" s="185"/>
      <c r="X908" s="141"/>
      <c r="Z908" s="187"/>
      <c r="AA908" s="187"/>
    </row>
    <row r="909" spans="1:27" s="186" customFormat="1" ht="15" customHeight="1">
      <c r="A909" s="215"/>
      <c r="B909" s="213" t="s">
        <v>999</v>
      </c>
      <c r="C909" s="298">
        <f>IF(R859="Inclinado",C908+2*SIN(RADIANS(Q859))*(I908+N859),C908+2*TAN(RADIANS(Q859))*(I908+N859))</f>
        <v>0</v>
      </c>
      <c r="D909" s="629">
        <f t="shared" si="132"/>
        <v>0</v>
      </c>
      <c r="E909" s="629">
        <f t="shared" si="132"/>
        <v>0</v>
      </c>
      <c r="F909" s="629">
        <f t="shared" si="132"/>
        <v>0</v>
      </c>
      <c r="G909" s="629">
        <f t="shared" si="132"/>
        <v>0</v>
      </c>
      <c r="H909" s="629">
        <f t="shared" si="132"/>
        <v>0</v>
      </c>
      <c r="I909" s="629">
        <f t="shared" si="132"/>
        <v>0</v>
      </c>
      <c r="J909" s="629">
        <f t="shared" si="132"/>
        <v>0</v>
      </c>
      <c r="K909" s="629">
        <f t="shared" si="132"/>
        <v>0</v>
      </c>
      <c r="L909" s="630" t="e">
        <f t="shared" si="122"/>
        <v>#DIV/0!</v>
      </c>
      <c r="M909" s="630" t="e">
        <f t="shared" si="123"/>
        <v>#DIV/0!</v>
      </c>
      <c r="N909" s="195"/>
      <c r="O909" s="615">
        <f t="shared" si="129"/>
        <v>360</v>
      </c>
      <c r="P909" s="236" t="e">
        <f t="shared" si="124"/>
        <v>#DIV/0!</v>
      </c>
      <c r="Q909" s="195" t="e">
        <f t="shared" si="125"/>
        <v>#DIV/0!</v>
      </c>
      <c r="R909" s="195"/>
      <c r="S909" s="327" t="e">
        <f t="shared" si="126"/>
        <v>#DIV/0!</v>
      </c>
      <c r="T909" s="327" t="e">
        <f t="shared" si="131"/>
        <v>#DIV/0!</v>
      </c>
      <c r="U909" s="195"/>
      <c r="V909" s="197"/>
      <c r="W909" s="185"/>
      <c r="X909" s="141"/>
      <c r="Z909" s="187"/>
      <c r="AA909" s="187"/>
    </row>
    <row r="910" spans="1:27" s="186" customFormat="1" ht="15" customHeight="1">
      <c r="A910" s="215"/>
      <c r="B910" s="213" t="s">
        <v>1000</v>
      </c>
      <c r="C910" s="298">
        <f>IF(R859="Inclinado",C909+2*SIN(RADIANS(Q859))*(I909+N859),C909+2*TAN(RADIANS(Q859))*(I909+N859))</f>
        <v>0</v>
      </c>
      <c r="D910" s="629">
        <f t="shared" si="132"/>
        <v>0</v>
      </c>
      <c r="E910" s="629">
        <f t="shared" si="132"/>
        <v>0</v>
      </c>
      <c r="F910" s="629">
        <f t="shared" si="132"/>
        <v>0</v>
      </c>
      <c r="G910" s="629">
        <f t="shared" si="132"/>
        <v>0</v>
      </c>
      <c r="H910" s="629">
        <f t="shared" si="132"/>
        <v>0</v>
      </c>
      <c r="I910" s="629">
        <f t="shared" si="132"/>
        <v>0</v>
      </c>
      <c r="J910" s="629">
        <f t="shared" si="132"/>
        <v>0</v>
      </c>
      <c r="K910" s="629">
        <f t="shared" si="132"/>
        <v>0</v>
      </c>
      <c r="L910" s="630" t="e">
        <f t="shared" si="122"/>
        <v>#DIV/0!</v>
      </c>
      <c r="M910" s="630" t="e">
        <f t="shared" si="123"/>
        <v>#DIV/0!</v>
      </c>
      <c r="N910" s="195"/>
      <c r="O910" s="615">
        <f t="shared" si="129"/>
        <v>360</v>
      </c>
      <c r="P910" s="236" t="e">
        <f t="shared" si="124"/>
        <v>#DIV/0!</v>
      </c>
      <c r="Q910" s="195" t="e">
        <f t="shared" si="125"/>
        <v>#DIV/0!</v>
      </c>
      <c r="R910" s="195"/>
      <c r="S910" s="327" t="e">
        <f t="shared" si="126"/>
        <v>#DIV/0!</v>
      </c>
      <c r="T910" s="327" t="e">
        <f t="shared" si="131"/>
        <v>#DIV/0!</v>
      </c>
      <c r="U910" s="195"/>
      <c r="V910" s="197"/>
      <c r="W910" s="185"/>
      <c r="X910" s="141"/>
      <c r="Z910" s="187"/>
      <c r="AA910" s="187"/>
    </row>
    <row r="911" spans="1:27" s="186" customFormat="1" ht="15" customHeight="1">
      <c r="A911" s="215"/>
      <c r="B911" s="213" t="s">
        <v>1001</v>
      </c>
      <c r="C911" s="298">
        <f>IF(R859="Inclinado",C910+2*SIN(RADIANS(Q859))*(I910+N859),C910+2*TAN(RADIANS(Q859))*(I910+N859))</f>
        <v>0</v>
      </c>
      <c r="D911" s="629">
        <f t="shared" si="132"/>
        <v>0</v>
      </c>
      <c r="E911" s="629">
        <f t="shared" si="132"/>
        <v>0</v>
      </c>
      <c r="F911" s="629">
        <f t="shared" si="132"/>
        <v>0</v>
      </c>
      <c r="G911" s="629">
        <f t="shared" si="132"/>
        <v>0</v>
      </c>
      <c r="H911" s="629">
        <f t="shared" si="132"/>
        <v>0</v>
      </c>
      <c r="I911" s="629">
        <f t="shared" si="132"/>
        <v>0</v>
      </c>
      <c r="J911" s="629">
        <f t="shared" si="132"/>
        <v>0</v>
      </c>
      <c r="K911" s="629">
        <f t="shared" si="132"/>
        <v>0</v>
      </c>
      <c r="L911" s="630" t="e">
        <f t="shared" si="122"/>
        <v>#DIV/0!</v>
      </c>
      <c r="M911" s="630" t="e">
        <f t="shared" si="123"/>
        <v>#DIV/0!</v>
      </c>
      <c r="N911" s="195"/>
      <c r="O911" s="615">
        <f t="shared" si="129"/>
        <v>360</v>
      </c>
      <c r="P911" s="236" t="e">
        <f t="shared" si="124"/>
        <v>#DIV/0!</v>
      </c>
      <c r="Q911" s="195" t="e">
        <f t="shared" si="125"/>
        <v>#DIV/0!</v>
      </c>
      <c r="R911" s="195"/>
      <c r="S911" s="327" t="e">
        <f t="shared" si="126"/>
        <v>#DIV/0!</v>
      </c>
      <c r="T911" s="327" t="e">
        <f t="shared" si="131"/>
        <v>#DIV/0!</v>
      </c>
      <c r="U911" s="195"/>
      <c r="V911" s="197"/>
      <c r="W911" s="185"/>
      <c r="X911" s="141"/>
      <c r="Z911" s="187"/>
      <c r="AA911" s="187"/>
    </row>
    <row r="912" spans="1:27" s="186" customFormat="1" ht="15" customHeight="1">
      <c r="A912" s="215"/>
      <c r="B912" s="213" t="s">
        <v>1002</v>
      </c>
      <c r="C912" s="298">
        <f>IF(R859="Inclinado",C911+2*SIN(RADIANS(Q859))*(I911+N859),C911+2*TAN(RADIANS(Q859))*(I911+N859))</f>
        <v>0</v>
      </c>
      <c r="D912" s="629">
        <f t="shared" si="132"/>
        <v>0</v>
      </c>
      <c r="E912" s="629">
        <f t="shared" si="132"/>
        <v>0</v>
      </c>
      <c r="F912" s="629">
        <f t="shared" si="132"/>
        <v>0</v>
      </c>
      <c r="G912" s="629">
        <f t="shared" si="132"/>
        <v>0</v>
      </c>
      <c r="H912" s="629">
        <f t="shared" si="132"/>
        <v>0</v>
      </c>
      <c r="I912" s="629">
        <f t="shared" si="132"/>
        <v>0</v>
      </c>
      <c r="J912" s="629">
        <f t="shared" si="132"/>
        <v>0</v>
      </c>
      <c r="K912" s="629">
        <f t="shared" si="132"/>
        <v>0</v>
      </c>
      <c r="L912" s="630" t="e">
        <f t="shared" si="122"/>
        <v>#DIV/0!</v>
      </c>
      <c r="M912" s="630" t="e">
        <f t="shared" si="123"/>
        <v>#DIV/0!</v>
      </c>
      <c r="N912" s="195"/>
      <c r="O912" s="615">
        <f t="shared" si="129"/>
        <v>360</v>
      </c>
      <c r="P912" s="236" t="e">
        <f t="shared" si="124"/>
        <v>#DIV/0!</v>
      </c>
      <c r="Q912" s="195" t="e">
        <f t="shared" si="125"/>
        <v>#DIV/0!</v>
      </c>
      <c r="R912" s="195"/>
      <c r="S912" s="327" t="e">
        <f t="shared" si="126"/>
        <v>#DIV/0!</v>
      </c>
      <c r="T912" s="327" t="e">
        <f t="shared" si="131"/>
        <v>#DIV/0!</v>
      </c>
      <c r="U912" s="195"/>
      <c r="V912" s="197"/>
      <c r="W912" s="185"/>
      <c r="X912" s="141"/>
      <c r="Z912" s="187"/>
      <c r="AA912" s="187"/>
    </row>
    <row r="913" spans="1:27" s="186" customFormat="1" ht="15" customHeight="1">
      <c r="A913" s="215"/>
      <c r="B913" s="213" t="s">
        <v>1003</v>
      </c>
      <c r="C913" s="298">
        <f>IF(R859="Inclinado",C912+2*SIN(RADIANS(Q859))*(I912+N859),C912+2*TAN(RADIANS(Q859))*(I912+N859))</f>
        <v>0</v>
      </c>
      <c r="D913" s="629">
        <f t="shared" si="132"/>
        <v>0</v>
      </c>
      <c r="E913" s="629">
        <f t="shared" si="132"/>
        <v>0</v>
      </c>
      <c r="F913" s="629">
        <f t="shared" si="132"/>
        <v>0</v>
      </c>
      <c r="G913" s="629">
        <f t="shared" si="132"/>
        <v>0</v>
      </c>
      <c r="H913" s="629">
        <f t="shared" si="132"/>
        <v>0</v>
      </c>
      <c r="I913" s="629">
        <f t="shared" si="132"/>
        <v>0</v>
      </c>
      <c r="J913" s="629">
        <f t="shared" si="132"/>
        <v>0</v>
      </c>
      <c r="K913" s="629">
        <f t="shared" si="132"/>
        <v>0</v>
      </c>
      <c r="L913" s="630" t="e">
        <f t="shared" si="122"/>
        <v>#DIV/0!</v>
      </c>
      <c r="M913" s="630" t="e">
        <f t="shared" si="123"/>
        <v>#DIV/0!</v>
      </c>
      <c r="N913" s="195"/>
      <c r="O913" s="615">
        <f t="shared" si="129"/>
        <v>360</v>
      </c>
      <c r="P913" s="236" t="e">
        <f t="shared" si="124"/>
        <v>#DIV/0!</v>
      </c>
      <c r="Q913" s="195" t="e">
        <f t="shared" si="125"/>
        <v>#DIV/0!</v>
      </c>
      <c r="R913" s="195"/>
      <c r="S913" s="327" t="e">
        <f t="shared" si="126"/>
        <v>#DIV/0!</v>
      </c>
      <c r="T913" s="327" t="e">
        <f t="shared" si="131"/>
        <v>#DIV/0!</v>
      </c>
      <c r="U913" s="195"/>
      <c r="V913" s="197"/>
      <c r="W913" s="185"/>
      <c r="X913" s="141"/>
      <c r="Z913" s="187"/>
      <c r="AA913" s="187"/>
    </row>
    <row r="914" spans="1:27" s="186" customFormat="1" ht="15" customHeight="1">
      <c r="A914" s="215"/>
      <c r="B914" s="213" t="s">
        <v>1004</v>
      </c>
      <c r="C914" s="298">
        <f>IF(R859="Inclinado",C913+2*SIN(RADIANS(Q859))*(I913+N859),C913+2*TAN(RADIANS(Q859))*(I913+N859))</f>
        <v>0</v>
      </c>
      <c r="D914" s="629">
        <f t="shared" si="132"/>
        <v>0</v>
      </c>
      <c r="E914" s="629">
        <f t="shared" si="132"/>
        <v>0</v>
      </c>
      <c r="F914" s="629">
        <f t="shared" si="132"/>
        <v>0</v>
      </c>
      <c r="G914" s="629">
        <f t="shared" si="132"/>
        <v>0</v>
      </c>
      <c r="H914" s="629">
        <f t="shared" si="132"/>
        <v>0</v>
      </c>
      <c r="I914" s="629">
        <f t="shared" si="132"/>
        <v>0</v>
      </c>
      <c r="J914" s="629">
        <f t="shared" si="132"/>
        <v>0</v>
      </c>
      <c r="K914" s="629">
        <f t="shared" si="132"/>
        <v>0</v>
      </c>
      <c r="L914" s="630" t="e">
        <f t="shared" si="122"/>
        <v>#DIV/0!</v>
      </c>
      <c r="M914" s="630" t="e">
        <f t="shared" si="123"/>
        <v>#DIV/0!</v>
      </c>
      <c r="N914" s="195"/>
      <c r="O914" s="615">
        <f t="shared" si="129"/>
        <v>360</v>
      </c>
      <c r="P914" s="236" t="e">
        <f t="shared" si="124"/>
        <v>#DIV/0!</v>
      </c>
      <c r="Q914" s="195" t="e">
        <f t="shared" si="125"/>
        <v>#DIV/0!</v>
      </c>
      <c r="R914" s="195"/>
      <c r="S914" s="327" t="e">
        <f t="shared" si="126"/>
        <v>#DIV/0!</v>
      </c>
      <c r="T914" s="327" t="e">
        <f t="shared" si="131"/>
        <v>#DIV/0!</v>
      </c>
      <c r="U914" s="195"/>
      <c r="V914" s="197"/>
      <c r="W914" s="185"/>
      <c r="X914" s="141"/>
      <c r="Z914" s="187"/>
      <c r="AA914" s="187"/>
    </row>
    <row r="915" spans="1:27" s="186" customFormat="1" ht="15" customHeight="1">
      <c r="A915" s="215"/>
      <c r="B915" s="213" t="s">
        <v>1005</v>
      </c>
      <c r="C915" s="298">
        <f>IF(R859="Inclinado",C914+2*SIN(RADIANS(Q859))*(I914+N859),C914+2*TAN(RADIANS(Q859))*(I914+N859))</f>
        <v>0</v>
      </c>
      <c r="D915" s="629">
        <f t="shared" si="132"/>
        <v>0</v>
      </c>
      <c r="E915" s="629">
        <f t="shared" si="132"/>
        <v>0</v>
      </c>
      <c r="F915" s="629">
        <f t="shared" si="132"/>
        <v>0</v>
      </c>
      <c r="G915" s="629">
        <f t="shared" si="132"/>
        <v>0</v>
      </c>
      <c r="H915" s="629">
        <f t="shared" si="132"/>
        <v>0</v>
      </c>
      <c r="I915" s="629">
        <f t="shared" si="132"/>
        <v>0</v>
      </c>
      <c r="J915" s="629">
        <f t="shared" si="132"/>
        <v>0</v>
      </c>
      <c r="K915" s="629">
        <f t="shared" si="132"/>
        <v>0</v>
      </c>
      <c r="L915" s="630" t="e">
        <f t="shared" si="122"/>
        <v>#DIV/0!</v>
      </c>
      <c r="M915" s="630" t="e">
        <f t="shared" si="123"/>
        <v>#DIV/0!</v>
      </c>
      <c r="N915" s="195"/>
      <c r="O915" s="615">
        <f t="shared" si="129"/>
        <v>360</v>
      </c>
      <c r="P915" s="236" t="e">
        <f t="shared" si="124"/>
        <v>#DIV/0!</v>
      </c>
      <c r="Q915" s="195" t="e">
        <f t="shared" si="125"/>
        <v>#DIV/0!</v>
      </c>
      <c r="R915" s="195"/>
      <c r="S915" s="327" t="e">
        <f t="shared" si="126"/>
        <v>#DIV/0!</v>
      </c>
      <c r="T915" s="327" t="e">
        <f t="shared" si="131"/>
        <v>#DIV/0!</v>
      </c>
      <c r="U915" s="195"/>
      <c r="V915" s="197"/>
      <c r="W915" s="185"/>
      <c r="X915" s="141"/>
      <c r="Z915" s="187"/>
      <c r="AA915" s="187"/>
    </row>
    <row r="916" spans="1:27" s="186" customFormat="1" ht="15" customHeight="1">
      <c r="A916" s="215"/>
      <c r="B916" s="213" t="s">
        <v>1006</v>
      </c>
      <c r="C916" s="298">
        <f>IF(R859="Inclinado",C915+2*SIN(RADIANS(Q859))*(I915+N859),C915+2*TAN(RADIANS(Q859))*(I915+N859))</f>
        <v>0</v>
      </c>
      <c r="D916" s="629">
        <f t="shared" si="132"/>
        <v>0</v>
      </c>
      <c r="E916" s="629">
        <f t="shared" si="132"/>
        <v>0</v>
      </c>
      <c r="F916" s="629">
        <f t="shared" si="132"/>
        <v>0</v>
      </c>
      <c r="G916" s="629">
        <f t="shared" si="132"/>
        <v>0</v>
      </c>
      <c r="H916" s="629">
        <f t="shared" si="132"/>
        <v>0</v>
      </c>
      <c r="I916" s="629">
        <f t="shared" si="132"/>
        <v>0</v>
      </c>
      <c r="J916" s="629">
        <f t="shared" si="132"/>
        <v>0</v>
      </c>
      <c r="K916" s="629">
        <f t="shared" si="132"/>
        <v>0</v>
      </c>
      <c r="L916" s="630" t="e">
        <f t="shared" si="122"/>
        <v>#DIV/0!</v>
      </c>
      <c r="M916" s="630" t="e">
        <f t="shared" si="123"/>
        <v>#DIV/0!</v>
      </c>
      <c r="N916" s="195"/>
      <c r="O916" s="615">
        <f t="shared" si="129"/>
        <v>360</v>
      </c>
      <c r="P916" s="236" t="e">
        <f t="shared" si="124"/>
        <v>#DIV/0!</v>
      </c>
      <c r="Q916" s="195" t="e">
        <f t="shared" si="125"/>
        <v>#DIV/0!</v>
      </c>
      <c r="R916" s="195"/>
      <c r="S916" s="327" t="e">
        <f t="shared" si="126"/>
        <v>#DIV/0!</v>
      </c>
      <c r="T916" s="327" t="e">
        <f t="shared" si="131"/>
        <v>#DIV/0!</v>
      </c>
      <c r="U916" s="195"/>
      <c r="V916" s="197"/>
      <c r="W916" s="185"/>
      <c r="X916" s="141"/>
      <c r="Z916" s="187"/>
      <c r="AA916" s="187"/>
    </row>
    <row r="917" spans="1:27" s="186" customFormat="1" ht="15" customHeight="1">
      <c r="A917" s="215"/>
      <c r="B917" s="213" t="s">
        <v>1007</v>
      </c>
      <c r="C917" s="298">
        <f>IF(R859="Inclinado",C916+2*SIN(RADIANS(Q859))*(I916+N859),C916+2*TAN(RADIANS(Q859))*(I916+N859))</f>
        <v>0</v>
      </c>
      <c r="D917" s="629">
        <f t="shared" si="132"/>
        <v>0</v>
      </c>
      <c r="E917" s="629">
        <f t="shared" si="132"/>
        <v>0</v>
      </c>
      <c r="F917" s="629">
        <f t="shared" si="132"/>
        <v>0</v>
      </c>
      <c r="G917" s="629">
        <f t="shared" si="132"/>
        <v>0</v>
      </c>
      <c r="H917" s="629">
        <f t="shared" si="132"/>
        <v>0</v>
      </c>
      <c r="I917" s="629">
        <f t="shared" si="132"/>
        <v>0</v>
      </c>
      <c r="J917" s="629">
        <f t="shared" si="132"/>
        <v>0</v>
      </c>
      <c r="K917" s="629">
        <f t="shared" si="132"/>
        <v>0</v>
      </c>
      <c r="L917" s="630" t="e">
        <f t="shared" si="122"/>
        <v>#DIV/0!</v>
      </c>
      <c r="M917" s="630" t="e">
        <f t="shared" si="123"/>
        <v>#DIV/0!</v>
      </c>
      <c r="N917" s="195"/>
      <c r="O917" s="615">
        <f t="shared" si="129"/>
        <v>360</v>
      </c>
      <c r="P917" s="236" t="e">
        <f t="shared" si="124"/>
        <v>#DIV/0!</v>
      </c>
      <c r="Q917" s="195" t="e">
        <f t="shared" si="125"/>
        <v>#DIV/0!</v>
      </c>
      <c r="R917" s="195"/>
      <c r="S917" s="327" t="e">
        <f t="shared" si="126"/>
        <v>#DIV/0!</v>
      </c>
      <c r="T917" s="327" t="e">
        <f t="shared" si="131"/>
        <v>#DIV/0!</v>
      </c>
      <c r="U917" s="195"/>
      <c r="V917" s="197"/>
      <c r="W917" s="185"/>
      <c r="X917" s="141"/>
      <c r="Z917" s="187"/>
      <c r="AA917" s="187"/>
    </row>
    <row r="918" spans="1:27" s="186" customFormat="1" ht="15" customHeight="1">
      <c r="A918" s="215"/>
      <c r="B918" s="213" t="s">
        <v>1008</v>
      </c>
      <c r="C918" s="298">
        <f>IF(R859="Inclinado",C917+2*SIN(RADIANS(Q859))*(I917+N859),C917+2*TAN(RADIANS(Q859))*(I917+N859))</f>
        <v>0</v>
      </c>
      <c r="D918" s="629">
        <f t="shared" si="132"/>
        <v>0</v>
      </c>
      <c r="E918" s="629">
        <f t="shared" si="132"/>
        <v>0</v>
      </c>
      <c r="F918" s="629">
        <f t="shared" si="132"/>
        <v>0</v>
      </c>
      <c r="G918" s="629">
        <f t="shared" si="132"/>
        <v>0</v>
      </c>
      <c r="H918" s="629">
        <f t="shared" si="132"/>
        <v>0</v>
      </c>
      <c r="I918" s="629">
        <f t="shared" si="132"/>
        <v>0</v>
      </c>
      <c r="J918" s="629">
        <f t="shared" si="132"/>
        <v>0</v>
      </c>
      <c r="K918" s="629">
        <f t="shared" si="132"/>
        <v>0</v>
      </c>
      <c r="L918" s="630" t="e">
        <f t="shared" si="122"/>
        <v>#DIV/0!</v>
      </c>
      <c r="M918" s="630" t="e">
        <f t="shared" si="123"/>
        <v>#DIV/0!</v>
      </c>
      <c r="N918" s="195"/>
      <c r="O918" s="615">
        <f t="shared" si="129"/>
        <v>360</v>
      </c>
      <c r="P918" s="236" t="e">
        <f t="shared" si="124"/>
        <v>#DIV/0!</v>
      </c>
      <c r="Q918" s="195" t="e">
        <f t="shared" si="125"/>
        <v>#DIV/0!</v>
      </c>
      <c r="R918" s="195"/>
      <c r="S918" s="327" t="e">
        <f t="shared" si="126"/>
        <v>#DIV/0!</v>
      </c>
      <c r="T918" s="327" t="e">
        <f t="shared" si="131"/>
        <v>#DIV/0!</v>
      </c>
      <c r="U918" s="195"/>
      <c r="V918" s="197"/>
      <c r="W918" s="185"/>
      <c r="X918" s="141"/>
      <c r="Z918" s="187"/>
      <c r="AA918" s="187"/>
    </row>
    <row r="919" spans="1:27" s="186" customFormat="1" ht="15" customHeight="1" thickBot="1">
      <c r="A919" s="215"/>
      <c r="B919" s="213" t="s">
        <v>1009</v>
      </c>
      <c r="C919" s="298">
        <f>IF(R859="Inclinado",C918+2*SIN(RADIANS(Q859))*(I918+N859),C918+2*TAN(RADIANS(Q859))*(I918+N859))</f>
        <v>0</v>
      </c>
      <c r="D919" s="629">
        <f t="shared" ref="D919:K919" si="133">D918</f>
        <v>0</v>
      </c>
      <c r="E919" s="629">
        <f t="shared" si="133"/>
        <v>0</v>
      </c>
      <c r="F919" s="629">
        <f t="shared" si="133"/>
        <v>0</v>
      </c>
      <c r="G919" s="629">
        <f t="shared" si="133"/>
        <v>0</v>
      </c>
      <c r="H919" s="629">
        <f t="shared" si="133"/>
        <v>0</v>
      </c>
      <c r="I919" s="629">
        <f t="shared" si="133"/>
        <v>0</v>
      </c>
      <c r="J919" s="629">
        <f t="shared" si="133"/>
        <v>0</v>
      </c>
      <c r="K919" s="629">
        <f t="shared" si="133"/>
        <v>0</v>
      </c>
      <c r="L919" s="630" t="e">
        <f t="shared" si="122"/>
        <v>#DIV/0!</v>
      </c>
      <c r="M919" s="630" t="e">
        <f t="shared" si="123"/>
        <v>#DIV/0!</v>
      </c>
      <c r="N919" s="195"/>
      <c r="O919" s="616">
        <f t="shared" si="129"/>
        <v>360</v>
      </c>
      <c r="P919" s="236" t="e">
        <f t="shared" si="124"/>
        <v>#DIV/0!</v>
      </c>
      <c r="Q919" s="195" t="e">
        <f t="shared" si="125"/>
        <v>#DIV/0!</v>
      </c>
      <c r="R919" s="195"/>
      <c r="S919" s="327" t="e">
        <f t="shared" si="126"/>
        <v>#DIV/0!</v>
      </c>
      <c r="T919" s="327" t="e">
        <f t="shared" si="131"/>
        <v>#DIV/0!</v>
      </c>
      <c r="U919" s="195"/>
      <c r="V919" s="197"/>
      <c r="W919" s="185"/>
      <c r="X919" s="141"/>
      <c r="Z919" s="187"/>
      <c r="AA919" s="187"/>
    </row>
    <row r="920" spans="1:27" s="186" customFormat="1" ht="15" customHeight="1">
      <c r="A920" s="215"/>
      <c r="B920" s="210"/>
      <c r="C920" s="298"/>
      <c r="D920" s="195"/>
      <c r="E920" s="135"/>
      <c r="F920" s="135"/>
      <c r="G920" s="135"/>
      <c r="H920" s="135"/>
      <c r="I920" s="232"/>
      <c r="J920" s="232"/>
      <c r="K920" s="232"/>
      <c r="L920" s="195"/>
      <c r="M920" s="195"/>
      <c r="N920" s="195"/>
      <c r="O920" s="144"/>
      <c r="P920" s="195"/>
      <c r="Q920" s="195"/>
      <c r="R920" s="195"/>
      <c r="S920" s="195"/>
      <c r="T920" s="195"/>
      <c r="U920" s="195"/>
      <c r="V920" s="197"/>
      <c r="W920" s="185"/>
      <c r="X920" s="141"/>
      <c r="Z920" s="187"/>
      <c r="AA920" s="187"/>
    </row>
    <row r="921" spans="1:27" s="186" customFormat="1" ht="15" customHeight="1" thickBot="1">
      <c r="A921" s="215"/>
      <c r="B921" s="279" t="s">
        <v>1010</v>
      </c>
      <c r="C921" s="280"/>
      <c r="D921" s="281"/>
      <c r="E921" s="281"/>
      <c r="F921" s="281"/>
      <c r="G921" s="281"/>
      <c r="H921" s="281"/>
      <c r="I921" s="281"/>
      <c r="J921" s="282"/>
      <c r="K921" s="282"/>
      <c r="L921" s="283"/>
      <c r="M921" s="281"/>
      <c r="N921" s="281"/>
      <c r="O921" s="281"/>
      <c r="P921" s="281"/>
      <c r="Q921" s="281"/>
      <c r="R921" s="281"/>
      <c r="S921" s="284"/>
      <c r="T921" s="281"/>
      <c r="U921" s="281" t="s">
        <v>678</v>
      </c>
      <c r="V921" s="285" t="s">
        <v>27</v>
      </c>
      <c r="W921" s="286"/>
      <c r="X921" s="287"/>
      <c r="Z921" s="187"/>
      <c r="AA921" s="187"/>
    </row>
    <row r="922" spans="1:27" s="186" customFormat="1" ht="15" customHeight="1" thickBot="1">
      <c r="A922" s="215"/>
      <c r="B922" s="210"/>
      <c r="C922" s="133">
        <f>SUMIF(Densidades!A:A,'Memória TOTAL'!X922,Densidades!B:B)</f>
        <v>0</v>
      </c>
      <c r="D922" s="134">
        <f>SUMIF(Densidades!A:A,'Memória TOTAL'!X922,Densidades!C:C)</f>
        <v>0</v>
      </c>
      <c r="E922" s="134" t="str">
        <f>IF(I922=15,"FIRECLAY MORTAR",IF(I922=16,"ALUMINA MORTAR",IF(I922=17,"BASIC MORTAR",IF(I922=18,"MORTAR","-"))))</f>
        <v>-</v>
      </c>
      <c r="F922" s="134" t="str">
        <f>IF(I922=15,"FIRECLAY MORTAR",IF(I922=16,"ALUMINA MORTAR",IF(I922=17,"BASIC MORTAR",IF(I922=18,"MORTAR","-"))))</f>
        <v>-</v>
      </c>
      <c r="G922" s="134" t="str">
        <f>IF(I922=15,"FIRECLAY MORTAR",IF(I922=16,"ALUMINA MORTAR",IF(I922=17,"BASIC MORTAR",IF(I922=18,"MORTAR","-"))))</f>
        <v>-</v>
      </c>
      <c r="H922" s="134" t="str">
        <f>IF(I922=15,"FIRECLAY MORTAR",IF(I922=16,"ALUMINA MORTAR",IF(I922=17,"BASIC MORTAR",IF(I922=18,"MORTAR","-"))))</f>
        <v>-</v>
      </c>
      <c r="I922" s="134">
        <f>SUMIF(Densidades!A:A,'Memória TOTAL'!X922,Densidades!G:G)</f>
        <v>0</v>
      </c>
      <c r="J922" s="136">
        <f>SUMIF(Formatos!A:A,'Memória TOTAL'!X923,Formatos!G:G)</f>
        <v>0</v>
      </c>
      <c r="K922" s="137">
        <f>SUMIF(Densidades!A:A,'Memória TOTAL'!X922,Densidades!I:I)</f>
        <v>0</v>
      </c>
      <c r="L922" s="188">
        <v>0</v>
      </c>
      <c r="M922" s="189"/>
      <c r="N922" s="189"/>
      <c r="O922" s="189"/>
      <c r="P922" s="189"/>
      <c r="Q922" s="189"/>
      <c r="R922" s="189"/>
      <c r="S922" s="189"/>
      <c r="T922" s="190"/>
      <c r="U922" s="290">
        <v>0.06</v>
      </c>
      <c r="V922" s="192" t="e">
        <f>(W859*J859*C922+W863*J863*C922)*U922</f>
        <v>#VALUE!</v>
      </c>
      <c r="W922" s="193" t="str">
        <f>IF(C922=0,"",ROUNDUP(SUM(V922:V923)*(1+L922)/D922,2)*D922)</f>
        <v/>
      </c>
      <c r="X922" s="263"/>
      <c r="Z922" s="187"/>
      <c r="AA922" s="187"/>
    </row>
    <row r="923" spans="1:27" s="186" customFormat="1" ht="15" customHeight="1">
      <c r="A923" s="215"/>
      <c r="B923" s="210"/>
      <c r="C923" s="133"/>
      <c r="D923" s="195"/>
      <c r="E923" s="195"/>
      <c r="F923" s="195"/>
      <c r="G923" s="195"/>
      <c r="H923" s="195"/>
      <c r="I923" s="195"/>
      <c r="J923" s="196"/>
      <c r="K923" s="196"/>
      <c r="L923" s="144"/>
      <c r="M923" s="195"/>
      <c r="N923" s="195"/>
      <c r="O923" s="195"/>
      <c r="P923" s="195"/>
      <c r="Q923" s="195"/>
      <c r="R923" s="195"/>
      <c r="S923" s="195"/>
      <c r="T923" s="195"/>
      <c r="U923" s="195"/>
      <c r="V923" s="197"/>
      <c r="W923" s="185"/>
      <c r="X923" s="141" t="str">
        <f>IF(AND(H922="-",G922="-",F922="-"),E922,IF(AND(H922="-",G922="-",E922="-"),F922,IF(AND(H922="-",F922="-",E922="-"),G922,H922)))</f>
        <v>-</v>
      </c>
      <c r="Z923" s="187"/>
      <c r="AA923" s="187"/>
    </row>
    <row r="924" spans="1:27" s="186" customFormat="1" ht="15" customHeight="1">
      <c r="A924" s="215"/>
      <c r="B924" s="213"/>
      <c r="C924" s="133"/>
      <c r="D924" s="195"/>
      <c r="E924" s="195"/>
      <c r="F924" s="195"/>
      <c r="G924" s="195"/>
      <c r="H924" s="195"/>
      <c r="I924" s="195"/>
      <c r="J924" s="196"/>
      <c r="K924" s="196"/>
      <c r="L924" s="144"/>
      <c r="M924" s="195"/>
      <c r="N924" s="195"/>
      <c r="O924" s="195"/>
      <c r="P924" s="195"/>
      <c r="Q924" s="195"/>
      <c r="R924" s="195"/>
      <c r="S924" s="195"/>
      <c r="T924" s="195"/>
      <c r="U924" s="195"/>
      <c r="V924" s="197"/>
      <c r="W924" s="185"/>
      <c r="X924" s="141" t="s">
        <v>2</v>
      </c>
      <c r="Z924" s="187"/>
      <c r="AA924" s="187"/>
    </row>
    <row r="925" spans="1:27" ht="15" customHeight="1">
      <c r="A925" s="215"/>
      <c r="B925" s="131"/>
      <c r="C925" s="169"/>
      <c r="D925" s="170"/>
      <c r="E925" s="170"/>
      <c r="F925" s="170"/>
      <c r="G925" s="170"/>
      <c r="H925" s="170"/>
      <c r="I925" s="170"/>
      <c r="J925" s="171"/>
      <c r="K925" s="171"/>
      <c r="L925" s="172"/>
      <c r="M925" s="170"/>
      <c r="N925" s="170"/>
      <c r="O925" s="170"/>
      <c r="P925" s="170"/>
      <c r="Q925" s="170"/>
      <c r="R925" s="170"/>
      <c r="S925" s="170"/>
      <c r="T925" s="170"/>
      <c r="U925" s="170"/>
      <c r="V925" s="173"/>
      <c r="W925" s="174"/>
      <c r="X925" s="175"/>
    </row>
    <row r="926" spans="1:27" s="186" customFormat="1" ht="15" customHeight="1" thickBot="1">
      <c r="A926" s="215"/>
      <c r="B926" s="279" t="s">
        <v>1011</v>
      </c>
      <c r="C926" s="280"/>
      <c r="D926" s="281"/>
      <c r="E926" s="281"/>
      <c r="F926" s="281"/>
      <c r="G926" s="281"/>
      <c r="H926" s="281"/>
      <c r="I926" s="281"/>
      <c r="J926" s="282"/>
      <c r="K926" s="282"/>
      <c r="L926" s="283"/>
      <c r="M926" s="281"/>
      <c r="N926" s="281"/>
      <c r="O926" s="281"/>
      <c r="P926" s="281"/>
      <c r="Q926" s="281"/>
      <c r="R926" s="281" t="s">
        <v>636</v>
      </c>
      <c r="S926" s="284" t="s">
        <v>637</v>
      </c>
      <c r="T926" s="281" t="s">
        <v>638</v>
      </c>
      <c r="U926" s="281" t="s">
        <v>38</v>
      </c>
      <c r="V926" s="285" t="s">
        <v>27</v>
      </c>
      <c r="W926" s="286"/>
      <c r="X926" s="287"/>
      <c r="Z926" s="187"/>
      <c r="AA926" s="187"/>
    </row>
    <row r="927" spans="1:27" s="186" customFormat="1" ht="15" customHeight="1" thickBot="1">
      <c r="A927" s="215"/>
      <c r="B927" s="210"/>
      <c r="C927" s="133">
        <f>SUMIF(Densidades!A:A,'Memória TOTAL'!X927,Densidades!B:B)</f>
        <v>0</v>
      </c>
      <c r="D927" s="134">
        <f>SUMIF(Densidades!A:A,'Memória TOTAL'!X927,Densidades!C:C)</f>
        <v>0</v>
      </c>
      <c r="E927" s="134" t="str">
        <f>IF(I927=15,"FIRECLAY MORTAR",IF(I927=16,"ALUMINA MORTAR",IF(I927=17,"BASIC MORTAR",IF(I927=18,"MORTAR","-"))))</f>
        <v>-</v>
      </c>
      <c r="F927" s="134" t="str">
        <f>IF(I927=15,"FIRECLAY MORTAR",IF(I927=16,"ALUMINA MORTAR",IF(I927=17,"BASIC MORTAR",IF(I927=18,"MORTAR","-"))))</f>
        <v>-</v>
      </c>
      <c r="G927" s="134" t="str">
        <f>IF(I927=15,"FIRECLAY MORTAR",IF(I927=16,"ALUMINA MORTAR",IF(I927=17,"BASIC MORTAR",IF(I927=18,"MORTAR","-"))))</f>
        <v>-</v>
      </c>
      <c r="H927" s="134" t="str">
        <f>IF(I927=15,"FIRECLAY MORTAR",IF(I927=16,"ALUMINA MORTAR",IF(I927=17,"BASIC MORTAR",IF(I927=18,"MORTAR","-"))))</f>
        <v>-</v>
      </c>
      <c r="I927" s="134">
        <f>SUMIF(Densidades!A:A,'Memória TOTAL'!X927,Densidades!G:G)</f>
        <v>0</v>
      </c>
      <c r="J927" s="136">
        <f>SUMIF(Formatos!A:A,'Memória TOTAL'!X928,Formatos!G:G)</f>
        <v>0</v>
      </c>
      <c r="K927" s="222">
        <f>SUMIF(Densidades!A:A,'Memória TOTAL'!X927,Densidades!I:I)</f>
        <v>0</v>
      </c>
      <c r="L927" s="188">
        <v>0</v>
      </c>
      <c r="M927" s="189"/>
      <c r="N927" s="189"/>
      <c r="O927" s="189"/>
      <c r="P927" s="189"/>
      <c r="Q927" s="189"/>
      <c r="R927" s="190">
        <f>((G859*H859)+(G859*E859)+(H859*E859))/1000000</f>
        <v>0</v>
      </c>
      <c r="S927" s="259">
        <v>2</v>
      </c>
      <c r="T927" s="190">
        <f>R927*S927</f>
        <v>0</v>
      </c>
      <c r="U927" s="191">
        <f>SUM(W859:W864)</f>
        <v>0</v>
      </c>
      <c r="V927" s="192">
        <f>(T927*C927*(1+L927))*U927</f>
        <v>0</v>
      </c>
      <c r="W927" s="140" t="str">
        <f>IF(C927=0,"",ROUNDUP(SUM(V927:V928)*(1+L927)/D927,2)*D927)</f>
        <v/>
      </c>
      <c r="X927" s="263"/>
      <c r="Z927" s="187"/>
      <c r="AA927" s="187"/>
    </row>
    <row r="928" spans="1:27" s="186" customFormat="1" ht="15" customHeight="1">
      <c r="A928" s="215"/>
      <c r="B928" s="210"/>
      <c r="C928" s="133"/>
      <c r="D928" s="195"/>
      <c r="E928" s="195"/>
      <c r="F928" s="195"/>
      <c r="G928" s="195"/>
      <c r="H928" s="195"/>
      <c r="I928" s="195"/>
      <c r="J928" s="196"/>
      <c r="K928" s="196"/>
      <c r="L928" s="144"/>
      <c r="M928" s="195"/>
      <c r="N928" s="195"/>
      <c r="O928" s="195"/>
      <c r="P928" s="195"/>
      <c r="Q928" s="195"/>
      <c r="R928" s="195"/>
      <c r="S928" s="195"/>
      <c r="T928" s="195"/>
      <c r="U928" s="195"/>
      <c r="V928" s="197"/>
      <c r="W928" s="185"/>
      <c r="X928" s="141" t="str">
        <f>IF(AND(H927="-",G927="-",F927="-"),E927,IF(AND(H927="-",G927="-",E927="-"),F927,IF(AND(H927="-",F927="-",E927="-"),G927,H927)))</f>
        <v>-</v>
      </c>
      <c r="Z928" s="187"/>
      <c r="AA928" s="187"/>
    </row>
    <row r="929" spans="1:27" s="186" customFormat="1" ht="15" customHeight="1">
      <c r="A929" s="215"/>
      <c r="B929" s="213"/>
      <c r="C929" s="133"/>
      <c r="D929" s="195"/>
      <c r="E929" s="195"/>
      <c r="F929" s="195"/>
      <c r="G929" s="195"/>
      <c r="H929" s="195"/>
      <c r="I929" s="195"/>
      <c r="J929" s="196"/>
      <c r="K929" s="196"/>
      <c r="L929" s="144"/>
      <c r="M929" s="195"/>
      <c r="N929" s="195"/>
      <c r="O929" s="195"/>
      <c r="P929" s="195"/>
      <c r="Q929" s="195"/>
      <c r="R929" s="195"/>
      <c r="S929" s="195"/>
      <c r="T929" s="195"/>
      <c r="U929" s="195"/>
      <c r="V929" s="197"/>
      <c r="W929" s="185"/>
      <c r="X929" s="141" t="s">
        <v>2</v>
      </c>
      <c r="Z929" s="187"/>
      <c r="AA929" s="187"/>
    </row>
    <row r="930" spans="1:27" s="186" customFormat="1" ht="15" customHeight="1">
      <c r="A930" s="215"/>
      <c r="B930" s="210"/>
      <c r="C930" s="298"/>
      <c r="D930" s="195"/>
      <c r="E930" s="195"/>
      <c r="F930" s="195"/>
      <c r="G930" s="195"/>
      <c r="H930" s="195"/>
      <c r="I930" s="195"/>
      <c r="J930" s="196"/>
      <c r="K930" s="196"/>
      <c r="L930" s="144"/>
      <c r="M930" s="195"/>
      <c r="N930" s="195"/>
      <c r="O930" s="195"/>
      <c r="P930" s="195"/>
      <c r="Q930" s="195"/>
      <c r="R930" s="195"/>
      <c r="S930" s="195"/>
      <c r="T930" s="195"/>
      <c r="U930" s="195"/>
      <c r="V930" s="197"/>
      <c r="W930" s="185"/>
      <c r="X930" s="141"/>
      <c r="Z930" s="187"/>
      <c r="AA930" s="187"/>
    </row>
    <row r="931" spans="1:27" s="186" customFormat="1" ht="15" customHeight="1" thickBot="1">
      <c r="A931" s="215"/>
      <c r="B931" s="509"/>
      <c r="C931" s="509"/>
      <c r="D931" s="512"/>
      <c r="E931" s="512"/>
      <c r="F931" s="512"/>
      <c r="G931" s="512"/>
      <c r="H931" s="512"/>
      <c r="I931" s="512"/>
      <c r="J931" s="512"/>
      <c r="K931" s="512"/>
      <c r="L931" s="512"/>
      <c r="M931" s="512"/>
      <c r="N931" s="512"/>
      <c r="O931" s="512"/>
      <c r="P931" s="512"/>
      <c r="Q931" s="512"/>
      <c r="R931" s="512"/>
      <c r="S931" s="512"/>
      <c r="T931" s="512"/>
      <c r="U931" s="512"/>
      <c r="V931" s="512"/>
      <c r="W931" s="512"/>
      <c r="X931" s="513"/>
      <c r="Z931" s="187"/>
      <c r="AA931" s="187"/>
    </row>
    <row r="932" spans="1:27" s="186" customFormat="1" ht="15" customHeight="1" thickBot="1">
      <c r="A932" s="215"/>
      <c r="B932" s="514" t="str">
        <f>IF(X933="","TIJOLO / TRONCO DE CONE - 3 TIJOLOS",X933)</f>
        <v>TIJOLO / TRONCO DE CONE - 3 TIJOLOS</v>
      </c>
      <c r="C932" s="515" t="s">
        <v>101</v>
      </c>
      <c r="D932" s="182" t="s">
        <v>102</v>
      </c>
      <c r="E932" s="182" t="s">
        <v>42</v>
      </c>
      <c r="F932" s="182" t="s">
        <v>42</v>
      </c>
      <c r="G932" s="182" t="s">
        <v>43</v>
      </c>
      <c r="H932" s="182" t="s">
        <v>44</v>
      </c>
      <c r="I932" s="182" t="s">
        <v>47</v>
      </c>
      <c r="J932" s="182" t="s">
        <v>103</v>
      </c>
      <c r="K932" s="182" t="s">
        <v>37</v>
      </c>
      <c r="L932" s="182" t="s">
        <v>39</v>
      </c>
      <c r="M932" s="182"/>
      <c r="N932" s="182"/>
      <c r="O932" s="182"/>
      <c r="P932" s="182"/>
      <c r="Q932" s="182"/>
      <c r="R932" s="182"/>
      <c r="S932" s="182"/>
      <c r="T932" s="182"/>
      <c r="U932" s="182"/>
      <c r="V932" s="516" t="s">
        <v>27</v>
      </c>
      <c r="W932" s="517"/>
      <c r="X932" s="518"/>
      <c r="Z932" s="187"/>
      <c r="AA932" s="187"/>
    </row>
    <row r="933" spans="1:27" s="186" customFormat="1" ht="15" customHeight="1" thickBot="1">
      <c r="A933" s="215"/>
      <c r="B933" s="793" t="s">
        <v>1833</v>
      </c>
      <c r="C933" s="133">
        <f>SUMIF(Densidades!A:A,'Memória TOTAL'!X933,Densidades!B:B)</f>
        <v>0</v>
      </c>
      <c r="D933" s="134">
        <f>SUMIF(Densidades!A:A,'Memória TOTAL'!X933,Densidades!C:C)</f>
        <v>0</v>
      </c>
      <c r="E933" s="135">
        <f>SUMIF(Formatos!A:A,'Memória TOTAL'!X934,Formatos!E:E)</f>
        <v>0</v>
      </c>
      <c r="F933" s="135">
        <f>SUMIF(Formatos!A:A,'Memória TOTAL'!X934,Formatos!F:F)</f>
        <v>0</v>
      </c>
      <c r="G933" s="135">
        <f>SUMIF(Formatos!A:A,'Memória TOTAL'!X934,Formatos!C:C)</f>
        <v>0</v>
      </c>
      <c r="H933" s="135">
        <f>SUMIF(Formatos!A:A,'Memória TOTAL'!X934,Formatos!D:D)</f>
        <v>0</v>
      </c>
      <c r="I933" s="135">
        <f>SUMIF(Densidades!A:A,'Memória TOTAL'!X933,Densidades!H:H)</f>
        <v>0</v>
      </c>
      <c r="J933" s="136">
        <f>SUMIF(Formatos!A:A,'Memória TOTAL'!X934,Formatos!G:G)</f>
        <v>0</v>
      </c>
      <c r="K933" s="222">
        <f>SUMIF(Densidades!A:A,'Memória TOTAL'!X933,Densidades!I:I)</f>
        <v>0</v>
      </c>
      <c r="L933" s="223">
        <v>0</v>
      </c>
      <c r="M933" s="195"/>
      <c r="N933" s="195"/>
      <c r="O933" s="195"/>
      <c r="P933" s="195"/>
      <c r="Q933" s="195"/>
      <c r="R933" s="195"/>
      <c r="S933" s="195"/>
      <c r="T933" s="232"/>
      <c r="U933" s="195"/>
      <c r="V933" s="233">
        <f>IF(H974="","-",SUM(H974))</f>
        <v>0</v>
      </c>
      <c r="W933" s="193">
        <f>IF(V933="-","",ROUNDUP(SUM(V933)*(1+L933),0))</f>
        <v>0</v>
      </c>
      <c r="X933" s="263"/>
      <c r="Z933" s="187"/>
      <c r="AA933" s="187"/>
    </row>
    <row r="934" spans="1:27" s="186" customFormat="1" ht="15" customHeight="1" thickBot="1">
      <c r="A934" s="215"/>
      <c r="B934" s="794"/>
      <c r="C934" s="200"/>
      <c r="D934" s="195"/>
      <c r="E934" s="195"/>
      <c r="F934" s="195"/>
      <c r="G934" s="195"/>
      <c r="H934" s="195"/>
      <c r="I934" s="195"/>
      <c r="J934" s="196"/>
      <c r="K934" s="196"/>
      <c r="L934" s="144"/>
      <c r="M934" s="195"/>
      <c r="N934" s="195"/>
      <c r="O934" s="195"/>
      <c r="P934" s="195"/>
      <c r="Q934" s="195"/>
      <c r="R934" s="195"/>
      <c r="S934" s="195"/>
      <c r="T934" s="195"/>
      <c r="U934" s="195"/>
      <c r="V934" s="197"/>
      <c r="W934" s="185"/>
      <c r="X934" s="141" t="str">
        <f>IF(X933="","",G974)</f>
        <v/>
      </c>
      <c r="Z934" s="187"/>
      <c r="AA934" s="187"/>
    </row>
    <row r="935" spans="1:27" s="186" customFormat="1" ht="15" customHeight="1">
      <c r="A935" s="215"/>
      <c r="B935" s="194"/>
      <c r="C935" s="200"/>
      <c r="D935" s="195"/>
      <c r="E935" s="195"/>
      <c r="F935" s="195"/>
      <c r="G935" s="195"/>
      <c r="H935" s="195"/>
      <c r="I935" s="195"/>
      <c r="J935" s="196"/>
      <c r="K935" s="196"/>
      <c r="L935" s="144"/>
      <c r="M935" s="195"/>
      <c r="N935" s="195"/>
      <c r="O935" s="195"/>
      <c r="P935" s="195"/>
      <c r="Q935" s="195"/>
      <c r="R935" s="195"/>
      <c r="S935" s="195"/>
      <c r="T935" s="195"/>
      <c r="U935" s="195"/>
      <c r="V935" s="197"/>
      <c r="W935" s="185"/>
      <c r="X935" s="141" t="s">
        <v>524</v>
      </c>
      <c r="Z935" s="187"/>
      <c r="AA935" s="187"/>
    </row>
    <row r="936" spans="1:27" s="186" customFormat="1" ht="15" customHeight="1">
      <c r="A936" s="215"/>
      <c r="B936" s="194"/>
      <c r="C936" s="200" t="str">
        <f t="shared" ref="C936:L936" si="134">C932</f>
        <v>Dens.</v>
      </c>
      <c r="D936" s="195" t="str">
        <f t="shared" si="134"/>
        <v>Emb.</v>
      </c>
      <c r="E936" s="238" t="str">
        <f t="shared" si="134"/>
        <v>Esp. Tij.</v>
      </c>
      <c r="F936" s="238" t="str">
        <f t="shared" si="134"/>
        <v>Esp. Tij.</v>
      </c>
      <c r="G936" s="238" t="str">
        <f t="shared" si="134"/>
        <v>Comp. Tij.</v>
      </c>
      <c r="H936" s="238" t="str">
        <f t="shared" si="134"/>
        <v>Larg. Tij.</v>
      </c>
      <c r="I936" s="238" t="str">
        <f t="shared" si="134"/>
        <v>Tipo Fator</v>
      </c>
      <c r="J936" s="238" t="str">
        <f t="shared" si="134"/>
        <v>Vol.</v>
      </c>
      <c r="K936" s="238" t="str">
        <f t="shared" si="134"/>
        <v>Class.</v>
      </c>
      <c r="L936" s="195" t="str">
        <f t="shared" si="134"/>
        <v>Coefic. (%)</v>
      </c>
      <c r="M936" s="195"/>
      <c r="N936" s="195"/>
      <c r="O936" s="195"/>
      <c r="P936" s="195"/>
      <c r="Q936" s="195"/>
      <c r="R936" s="195"/>
      <c r="S936" s="195"/>
      <c r="T936" s="195"/>
      <c r="U936" s="195"/>
      <c r="V936" s="197"/>
      <c r="W936" s="185"/>
      <c r="X936" s="141"/>
      <c r="Z936" s="187"/>
      <c r="AA936" s="187"/>
    </row>
    <row r="937" spans="1:27" s="186" customFormat="1" ht="15" customHeight="1">
      <c r="A937" s="215"/>
      <c r="B937" s="194"/>
      <c r="C937" s="133">
        <f>SUMIF(Densidades!A:A,'Memória TOTAL'!X937,Densidades!B:B)</f>
        <v>0</v>
      </c>
      <c r="D937" s="134">
        <f>SUMIF(Densidades!A:A,'Memória TOTAL'!X937,Densidades!C:C)</f>
        <v>620</v>
      </c>
      <c r="E937" s="135">
        <f>SUMIF(Formatos!A:A,'Memória TOTAL'!X938,Formatos!E:E)</f>
        <v>0</v>
      </c>
      <c r="F937" s="135">
        <f>SUMIF(Formatos!A:A,'Memória TOTAL'!X938,Formatos!F:F)</f>
        <v>0</v>
      </c>
      <c r="G937" s="135">
        <f>SUMIF(Formatos!A:A,'Memória TOTAL'!X938,Formatos!C:C)</f>
        <v>0</v>
      </c>
      <c r="H937" s="135">
        <f>SUMIF(Formatos!A:A,'Memória TOTAL'!X938,Formatos!D:D)</f>
        <v>0</v>
      </c>
      <c r="I937" s="135">
        <f>SUMIF(Densidades!A:A,'Memória TOTAL'!X937,Densidades!H:H)</f>
        <v>0</v>
      </c>
      <c r="J937" s="136">
        <f>SUMIF(Formatos!A:A,'Memória TOTAL'!X938,Formatos!G:G)</f>
        <v>0</v>
      </c>
      <c r="K937" s="222">
        <f>SUMIF(Densidades!A:A,'Memória TOTAL'!X937,Densidades!I:I)</f>
        <v>177</v>
      </c>
      <c r="L937" s="223">
        <v>0</v>
      </c>
      <c r="M937" s="195"/>
      <c r="N937" s="195"/>
      <c r="O937" s="195"/>
      <c r="P937" s="195"/>
      <c r="Q937" s="195"/>
      <c r="R937" s="195"/>
      <c r="S937" s="195"/>
      <c r="T937" s="232"/>
      <c r="U937" s="195"/>
      <c r="V937" s="233">
        <f>IF(H975="","-",SUM(H975))</f>
        <v>0</v>
      </c>
      <c r="W937" s="193">
        <f>IF(V937="-","",ROUNDUP(SUM(V937)*(1+L937),0))</f>
        <v>0</v>
      </c>
      <c r="X937" s="141" t="str">
        <f>IF(X933="","",X933)</f>
        <v/>
      </c>
      <c r="Z937" s="187"/>
      <c r="AA937" s="187"/>
    </row>
    <row r="938" spans="1:27" s="186" customFormat="1" ht="15" customHeight="1">
      <c r="A938" s="215"/>
      <c r="B938" s="194"/>
      <c r="C938" s="200"/>
      <c r="D938" s="195"/>
      <c r="E938" s="195"/>
      <c r="F938" s="195"/>
      <c r="G938" s="195"/>
      <c r="H938" s="195"/>
      <c r="I938" s="195"/>
      <c r="J938" s="196"/>
      <c r="K938" s="196"/>
      <c r="L938" s="144"/>
      <c r="M938" s="195"/>
      <c r="N938" s="195"/>
      <c r="O938" s="195"/>
      <c r="P938" s="195"/>
      <c r="Q938" s="195"/>
      <c r="R938" s="195"/>
      <c r="S938" s="195"/>
      <c r="T938" s="195"/>
      <c r="U938" s="195"/>
      <c r="V938" s="197"/>
      <c r="W938" s="185"/>
      <c r="X938" s="141" t="str">
        <f>IF(X937="","",G975)</f>
        <v/>
      </c>
      <c r="Z938" s="187"/>
      <c r="AA938" s="187"/>
    </row>
    <row r="939" spans="1:27" s="186" customFormat="1" ht="15" customHeight="1">
      <c r="A939" s="215"/>
      <c r="B939" s="194"/>
      <c r="C939" s="200"/>
      <c r="D939" s="195"/>
      <c r="E939" s="195"/>
      <c r="F939" s="195"/>
      <c r="G939" s="195"/>
      <c r="H939" s="195"/>
      <c r="I939" s="195"/>
      <c r="J939" s="196"/>
      <c r="K939" s="196"/>
      <c r="L939" s="144"/>
      <c r="M939" s="195"/>
      <c r="N939" s="195"/>
      <c r="O939" s="195"/>
      <c r="P939" s="195"/>
      <c r="Q939" s="195"/>
      <c r="R939" s="195"/>
      <c r="S939" s="195"/>
      <c r="T939" s="195"/>
      <c r="U939" s="195"/>
      <c r="V939" s="197"/>
      <c r="W939" s="185"/>
      <c r="X939" s="141" t="s">
        <v>524</v>
      </c>
      <c r="Z939" s="187"/>
      <c r="AA939" s="187"/>
    </row>
    <row r="940" spans="1:27" s="186" customFormat="1" ht="15" customHeight="1">
      <c r="A940" s="215"/>
      <c r="B940" s="194"/>
      <c r="C940" s="200" t="str">
        <f t="shared" ref="C940:L940" si="135">C936</f>
        <v>Dens.</v>
      </c>
      <c r="D940" s="195" t="str">
        <f t="shared" si="135"/>
        <v>Emb.</v>
      </c>
      <c r="E940" s="238" t="str">
        <f t="shared" si="135"/>
        <v>Esp. Tij.</v>
      </c>
      <c r="F940" s="238" t="str">
        <f t="shared" si="135"/>
        <v>Esp. Tij.</v>
      </c>
      <c r="G940" s="238" t="str">
        <f t="shared" si="135"/>
        <v>Comp. Tij.</v>
      </c>
      <c r="H940" s="238" t="str">
        <f t="shared" si="135"/>
        <v>Larg. Tij.</v>
      </c>
      <c r="I940" s="238" t="str">
        <f t="shared" si="135"/>
        <v>Tipo Fator</v>
      </c>
      <c r="J940" s="238" t="str">
        <f t="shared" si="135"/>
        <v>Vol.</v>
      </c>
      <c r="K940" s="238" t="str">
        <f t="shared" si="135"/>
        <v>Class.</v>
      </c>
      <c r="L940" s="195" t="str">
        <f t="shared" si="135"/>
        <v>Coefic. (%)</v>
      </c>
      <c r="M940" s="195"/>
      <c r="N940" s="195"/>
      <c r="O940" s="195"/>
      <c r="P940" s="195"/>
      <c r="Q940" s="195"/>
      <c r="R940" s="195"/>
      <c r="S940" s="195"/>
      <c r="T940" s="195"/>
      <c r="U940" s="195"/>
      <c r="V940" s="197"/>
      <c r="W940" s="185"/>
      <c r="X940" s="141"/>
      <c r="Z940" s="187"/>
      <c r="AA940" s="187"/>
    </row>
    <row r="941" spans="1:27" s="186" customFormat="1" ht="15" customHeight="1">
      <c r="A941" s="215"/>
      <c r="B941" s="194"/>
      <c r="C941" s="133">
        <f>SUMIF(Densidades!A:A,'Memória TOTAL'!X941,Densidades!B:B)</f>
        <v>0</v>
      </c>
      <c r="D941" s="134">
        <f>SUMIF(Densidades!A:A,'Memória TOTAL'!X941,Densidades!C:C)</f>
        <v>620</v>
      </c>
      <c r="E941" s="135">
        <f>SUMIF(Formatos!A:A,'Memória TOTAL'!X942,Formatos!E:E)</f>
        <v>0</v>
      </c>
      <c r="F941" s="135">
        <f>SUMIF(Formatos!A:A,'Memória TOTAL'!X942,Formatos!F:F)</f>
        <v>0</v>
      </c>
      <c r="G941" s="135">
        <f>SUMIF(Formatos!A:A,'Memória TOTAL'!X942,Formatos!C:C)</f>
        <v>0</v>
      </c>
      <c r="H941" s="135">
        <f>SUMIF(Formatos!A:A,'Memória TOTAL'!X942,Formatos!D:D)</f>
        <v>0</v>
      </c>
      <c r="I941" s="135">
        <f>SUMIF(Densidades!A:A,'Memória TOTAL'!X941,Densidades!H:H)</f>
        <v>0</v>
      </c>
      <c r="J941" s="136">
        <f>SUMIF(Formatos!A:A,'Memória TOTAL'!X942,Formatos!G:G)</f>
        <v>0</v>
      </c>
      <c r="K941" s="222">
        <f>SUMIF(Densidades!A:A,'Memória TOTAL'!X941,Densidades!I:I)</f>
        <v>177</v>
      </c>
      <c r="L941" s="223">
        <v>0</v>
      </c>
      <c r="M941" s="195"/>
      <c r="N941" s="195"/>
      <c r="O941" s="195"/>
      <c r="P941" s="195"/>
      <c r="Q941" s="195"/>
      <c r="R941" s="195"/>
      <c r="S941" s="195"/>
      <c r="T941" s="232"/>
      <c r="U941" s="195"/>
      <c r="V941" s="233" t="e">
        <f>IF(H976="","-",SUM(H976))</f>
        <v>#N/A</v>
      </c>
      <c r="W941" s="193" t="e">
        <f>IF(V941="-","",ROUNDUP(SUM(V941)*(1+L941),0))</f>
        <v>#N/A</v>
      </c>
      <c r="X941" s="141" t="str">
        <f>X937</f>
        <v/>
      </c>
      <c r="Z941" s="187"/>
      <c r="AA941" s="187"/>
    </row>
    <row r="942" spans="1:27" s="186" customFormat="1" ht="15" customHeight="1">
      <c r="A942" s="215"/>
      <c r="B942" s="194"/>
      <c r="C942" s="200"/>
      <c r="D942" s="195"/>
      <c r="E942" s="195"/>
      <c r="F942" s="195"/>
      <c r="G942" s="195"/>
      <c r="H942" s="195"/>
      <c r="I942" s="195"/>
      <c r="J942" s="196"/>
      <c r="K942" s="196"/>
      <c r="L942" s="144"/>
      <c r="M942" s="195"/>
      <c r="N942" s="195"/>
      <c r="O942" s="195"/>
      <c r="P942" s="195"/>
      <c r="Q942" s="195"/>
      <c r="R942" s="195"/>
      <c r="S942" s="195"/>
      <c r="T942" s="195"/>
      <c r="U942" s="195"/>
      <c r="V942" s="197"/>
      <c r="W942" s="185"/>
      <c r="X942" s="141" t="str">
        <f>IF(X941="","",G976)</f>
        <v/>
      </c>
      <c r="Z942" s="187"/>
      <c r="AA942" s="187"/>
    </row>
    <row r="943" spans="1:27" s="186" customFormat="1" ht="15" customHeight="1">
      <c r="A943" s="215"/>
      <c r="B943" s="194"/>
      <c r="C943" s="200"/>
      <c r="D943" s="195"/>
      <c r="E943" s="195"/>
      <c r="F943" s="195"/>
      <c r="G943" s="195"/>
      <c r="H943" s="195"/>
      <c r="I943" s="195"/>
      <c r="J943" s="196"/>
      <c r="K943" s="196"/>
      <c r="L943" s="144"/>
      <c r="M943" s="195"/>
      <c r="N943" s="195"/>
      <c r="O943" s="195"/>
      <c r="P943" s="195"/>
      <c r="Q943" s="195"/>
      <c r="R943" s="195"/>
      <c r="S943" s="195"/>
      <c r="T943" s="195"/>
      <c r="U943" s="195"/>
      <c r="V943" s="197"/>
      <c r="W943" s="185"/>
      <c r="X943" s="141" t="s">
        <v>524</v>
      </c>
      <c r="Z943" s="187"/>
      <c r="AA943" s="187"/>
    </row>
    <row r="944" spans="1:27" s="186" customFormat="1" ht="15" customHeight="1">
      <c r="A944" s="215"/>
      <c r="B944" s="194"/>
      <c r="C944" s="200" t="str">
        <f t="shared" ref="C944:L944" si="136">C940</f>
        <v>Dens.</v>
      </c>
      <c r="D944" s="195" t="str">
        <f t="shared" si="136"/>
        <v>Emb.</v>
      </c>
      <c r="E944" s="238" t="str">
        <f t="shared" si="136"/>
        <v>Esp. Tij.</v>
      </c>
      <c r="F944" s="238" t="str">
        <f t="shared" si="136"/>
        <v>Esp. Tij.</v>
      </c>
      <c r="G944" s="238" t="str">
        <f t="shared" si="136"/>
        <v>Comp. Tij.</v>
      </c>
      <c r="H944" s="238" t="str">
        <f t="shared" si="136"/>
        <v>Larg. Tij.</v>
      </c>
      <c r="I944" s="238" t="str">
        <f t="shared" si="136"/>
        <v>Tipo Fator</v>
      </c>
      <c r="J944" s="238" t="str">
        <f t="shared" si="136"/>
        <v>Vol.</v>
      </c>
      <c r="K944" s="238" t="str">
        <f t="shared" si="136"/>
        <v>Class.</v>
      </c>
      <c r="L944" s="195" t="str">
        <f t="shared" si="136"/>
        <v>Coefic. (%)</v>
      </c>
      <c r="M944" s="195"/>
      <c r="N944" s="195"/>
      <c r="O944" s="195"/>
      <c r="P944" s="195"/>
      <c r="Q944" s="195"/>
      <c r="R944" s="195"/>
      <c r="S944" s="195"/>
      <c r="T944" s="195"/>
      <c r="U944" s="195"/>
      <c r="V944" s="197"/>
      <c r="W944" s="185"/>
      <c r="X944" s="141"/>
      <c r="Z944" s="187"/>
      <c r="AA944" s="187"/>
    </row>
    <row r="945" spans="1:27" s="186" customFormat="1" ht="15" customHeight="1">
      <c r="A945" s="215"/>
      <c r="B945" s="194"/>
      <c r="C945" s="133">
        <f>SUMIF(Densidades!A:A,'Memória TOTAL'!X945,Densidades!B:B)</f>
        <v>0</v>
      </c>
      <c r="D945" s="134">
        <f>SUMIF(Densidades!A:A,'Memória TOTAL'!X945,Densidades!C:C)</f>
        <v>620</v>
      </c>
      <c r="E945" s="135">
        <f>SUMIF(Formatos!A:A,'Memória TOTAL'!X946,Formatos!E:E)</f>
        <v>0</v>
      </c>
      <c r="F945" s="135">
        <f>SUMIF(Formatos!A:A,'Memória TOTAL'!X946,Formatos!F:F)</f>
        <v>0</v>
      </c>
      <c r="G945" s="135">
        <f>SUMIF(Formatos!A:A,'Memória TOTAL'!X946,Formatos!C:C)</f>
        <v>0</v>
      </c>
      <c r="H945" s="135">
        <f>SUMIF(Formatos!A:A,'Memória TOTAL'!X946,Formatos!D:D)</f>
        <v>0</v>
      </c>
      <c r="I945" s="135">
        <f>SUMIF(Densidades!A:A,'Memória TOTAL'!X945,Densidades!H:H)</f>
        <v>0</v>
      </c>
      <c r="J945" s="136">
        <f>SUMIF(Formatos!A:A,'Memória TOTAL'!X946,Formatos!G:G)</f>
        <v>0</v>
      </c>
      <c r="K945" s="222">
        <f>SUMIF(Densidades!A:A,'Memória TOTAL'!X945,Densidades!I:I)</f>
        <v>177</v>
      </c>
      <c r="L945" s="223">
        <v>0</v>
      </c>
      <c r="M945" s="195"/>
      <c r="N945" s="195"/>
      <c r="O945" s="195"/>
      <c r="P945" s="195"/>
      <c r="Q945" s="195"/>
      <c r="R945" s="195"/>
      <c r="S945" s="195"/>
      <c r="T945" s="232"/>
      <c r="U945" s="195"/>
      <c r="V945" s="233">
        <f>IF(H977="","-",SUM(H977))</f>
        <v>0</v>
      </c>
      <c r="W945" s="193">
        <f>IF(V945="-","",ROUNDUP(SUM(V945)*(1+L945),0))</f>
        <v>0</v>
      </c>
      <c r="X945" s="141" t="str">
        <f>X941</f>
        <v/>
      </c>
      <c r="Z945" s="187"/>
      <c r="AA945" s="187"/>
    </row>
    <row r="946" spans="1:27" s="186" customFormat="1" ht="15" customHeight="1">
      <c r="A946" s="215"/>
      <c r="B946" s="194"/>
      <c r="C946" s="200"/>
      <c r="D946" s="195"/>
      <c r="E946" s="195"/>
      <c r="F946" s="195"/>
      <c r="G946" s="195"/>
      <c r="H946" s="195"/>
      <c r="I946" s="195"/>
      <c r="J946" s="196"/>
      <c r="K946" s="196"/>
      <c r="L946" s="144"/>
      <c r="M946" s="195"/>
      <c r="N946" s="195"/>
      <c r="O946" s="195"/>
      <c r="P946" s="195"/>
      <c r="Q946" s="195"/>
      <c r="R946" s="195"/>
      <c r="S946" s="195"/>
      <c r="T946" s="195"/>
      <c r="U946" s="195"/>
      <c r="V946" s="197"/>
      <c r="W946" s="185"/>
      <c r="X946" s="141" t="str">
        <f>IF(X945="","",G977)</f>
        <v/>
      </c>
      <c r="Z946" s="187"/>
      <c r="AA946" s="187"/>
    </row>
    <row r="947" spans="1:27" s="186" customFormat="1" ht="15" customHeight="1">
      <c r="A947" s="215"/>
      <c r="B947" s="194"/>
      <c r="C947" s="200"/>
      <c r="D947" s="195"/>
      <c r="E947" s="195"/>
      <c r="F947" s="195"/>
      <c r="G947" s="195"/>
      <c r="H947" s="195"/>
      <c r="I947" s="195"/>
      <c r="J947" s="196"/>
      <c r="K947" s="196"/>
      <c r="L947" s="144"/>
      <c r="M947" s="195"/>
      <c r="N947" s="195"/>
      <c r="O947" s="195"/>
      <c r="P947" s="195"/>
      <c r="Q947" s="195"/>
      <c r="R947" s="195"/>
      <c r="S947" s="195"/>
      <c r="T947" s="195"/>
      <c r="U947" s="195"/>
      <c r="V947" s="197"/>
      <c r="W947" s="185"/>
      <c r="X947" s="141" t="s">
        <v>524</v>
      </c>
      <c r="Z947" s="187"/>
      <c r="AA947" s="187"/>
    </row>
    <row r="948" spans="1:27" s="186" customFormat="1" ht="15" customHeight="1">
      <c r="A948" s="215"/>
      <c r="B948" s="194"/>
      <c r="C948" s="200" t="str">
        <f t="shared" ref="C948:L948" si="137">C944</f>
        <v>Dens.</v>
      </c>
      <c r="D948" s="195" t="str">
        <f t="shared" si="137"/>
        <v>Emb.</v>
      </c>
      <c r="E948" s="238" t="str">
        <f t="shared" si="137"/>
        <v>Esp. Tij.</v>
      </c>
      <c r="F948" s="238" t="str">
        <f t="shared" si="137"/>
        <v>Esp. Tij.</v>
      </c>
      <c r="G948" s="238" t="str">
        <f t="shared" si="137"/>
        <v>Comp. Tij.</v>
      </c>
      <c r="H948" s="238" t="str">
        <f t="shared" si="137"/>
        <v>Larg. Tij.</v>
      </c>
      <c r="I948" s="238" t="str">
        <f t="shared" si="137"/>
        <v>Tipo Fator</v>
      </c>
      <c r="J948" s="238" t="str">
        <f t="shared" si="137"/>
        <v>Vol.</v>
      </c>
      <c r="K948" s="238" t="str">
        <f t="shared" si="137"/>
        <v>Class.</v>
      </c>
      <c r="L948" s="195" t="str">
        <f t="shared" si="137"/>
        <v>Coefic. (%)</v>
      </c>
      <c r="M948" s="195"/>
      <c r="N948" s="195"/>
      <c r="O948" s="195"/>
      <c r="P948" s="195"/>
      <c r="Q948" s="195"/>
      <c r="R948" s="195"/>
      <c r="S948" s="195"/>
      <c r="T948" s="195"/>
      <c r="U948" s="195"/>
      <c r="V948" s="197"/>
      <c r="W948" s="185"/>
      <c r="X948" s="141"/>
      <c r="Z948" s="187"/>
      <c r="AA948" s="187"/>
    </row>
    <row r="949" spans="1:27" s="186" customFormat="1" ht="15" customHeight="1">
      <c r="A949" s="215"/>
      <c r="B949" s="194"/>
      <c r="C949" s="133">
        <f>SUMIF(Densidades!A:A,'Memória TOTAL'!X949,Densidades!B:B)</f>
        <v>0</v>
      </c>
      <c r="D949" s="134">
        <f>SUMIF(Densidades!A:A,'Memória TOTAL'!X949,Densidades!C:C)</f>
        <v>620</v>
      </c>
      <c r="E949" s="135">
        <f>SUMIF(Formatos!A:A,'Memória TOTAL'!X950,Formatos!E:E)</f>
        <v>0</v>
      </c>
      <c r="F949" s="135">
        <f>SUMIF(Formatos!A:A,'Memória TOTAL'!X950,Formatos!F:F)</f>
        <v>0</v>
      </c>
      <c r="G949" s="135">
        <f>SUMIF(Formatos!A:A,'Memória TOTAL'!X950,Formatos!C:C)</f>
        <v>0</v>
      </c>
      <c r="H949" s="135">
        <f>SUMIF(Formatos!A:A,'Memória TOTAL'!X950,Formatos!D:D)</f>
        <v>0</v>
      </c>
      <c r="I949" s="135">
        <f>SUMIF(Densidades!A:A,'Memória TOTAL'!X949,Densidades!H:H)</f>
        <v>0</v>
      </c>
      <c r="J949" s="136">
        <f>SUMIF(Formatos!A:A,'Memória TOTAL'!X950,Formatos!G:G)</f>
        <v>0</v>
      </c>
      <c r="K949" s="222">
        <f>SUMIF(Densidades!A:A,'Memória TOTAL'!X949,Densidades!I:I)</f>
        <v>177</v>
      </c>
      <c r="L949" s="223">
        <v>0</v>
      </c>
      <c r="M949" s="195"/>
      <c r="N949" s="195"/>
      <c r="O949" s="195"/>
      <c r="P949" s="195"/>
      <c r="Q949" s="195"/>
      <c r="R949" s="195"/>
      <c r="S949" s="195"/>
      <c r="T949" s="232"/>
      <c r="U949" s="195"/>
      <c r="V949" s="233">
        <f>IF(H978="","-",SUM(H978))</f>
        <v>0</v>
      </c>
      <c r="W949" s="193">
        <f>IF(V949="-","",ROUNDUP(SUM(V949)*(1+L949),0))</f>
        <v>0</v>
      </c>
      <c r="X949" s="141" t="str">
        <f>X945</f>
        <v/>
      </c>
      <c r="Z949" s="187"/>
      <c r="AA949" s="187"/>
    </row>
    <row r="950" spans="1:27" s="186" customFormat="1" ht="15" customHeight="1">
      <c r="A950" s="215"/>
      <c r="B950" s="194"/>
      <c r="C950" s="200"/>
      <c r="D950" s="195"/>
      <c r="E950" s="195"/>
      <c r="F950" s="195"/>
      <c r="G950" s="195"/>
      <c r="H950" s="195"/>
      <c r="I950" s="195"/>
      <c r="J950" s="196"/>
      <c r="K950" s="196"/>
      <c r="L950" s="144"/>
      <c r="M950" s="195"/>
      <c r="N950" s="195"/>
      <c r="O950" s="195"/>
      <c r="P950" s="195"/>
      <c r="Q950" s="195"/>
      <c r="R950" s="195"/>
      <c r="S950" s="195"/>
      <c r="T950" s="195"/>
      <c r="U950" s="195"/>
      <c r="V950" s="197"/>
      <c r="W950" s="185"/>
      <c r="X950" s="141" t="str">
        <f>IF(X949="","",G978)</f>
        <v/>
      </c>
      <c r="Z950" s="187"/>
      <c r="AA950" s="187"/>
    </row>
    <row r="951" spans="1:27" s="186" customFormat="1" ht="15" customHeight="1">
      <c r="A951" s="215"/>
      <c r="B951" s="194"/>
      <c r="C951" s="200"/>
      <c r="D951" s="195"/>
      <c r="E951" s="195"/>
      <c r="F951" s="195"/>
      <c r="G951" s="195"/>
      <c r="H951" s="195"/>
      <c r="I951" s="195"/>
      <c r="J951" s="196"/>
      <c r="K951" s="196"/>
      <c r="L951" s="144"/>
      <c r="M951" s="195"/>
      <c r="N951" s="195"/>
      <c r="O951" s="195"/>
      <c r="P951" s="195"/>
      <c r="Q951" s="195"/>
      <c r="R951" s="195"/>
      <c r="S951" s="195"/>
      <c r="T951" s="195"/>
      <c r="U951" s="195"/>
      <c r="V951" s="197"/>
      <c r="W951" s="185"/>
      <c r="X951" s="141" t="s">
        <v>524</v>
      </c>
      <c r="Z951" s="187"/>
      <c r="AA951" s="187"/>
    </row>
    <row r="952" spans="1:27" s="186" customFormat="1" ht="15" customHeight="1">
      <c r="A952" s="215"/>
      <c r="B952" s="194"/>
      <c r="C952" s="200" t="str">
        <f t="shared" ref="C952:L952" si="138">C948</f>
        <v>Dens.</v>
      </c>
      <c r="D952" s="195" t="str">
        <f t="shared" si="138"/>
        <v>Emb.</v>
      </c>
      <c r="E952" s="238" t="str">
        <f t="shared" si="138"/>
        <v>Esp. Tij.</v>
      </c>
      <c r="F952" s="238" t="str">
        <f t="shared" si="138"/>
        <v>Esp. Tij.</v>
      </c>
      <c r="G952" s="238" t="str">
        <f t="shared" si="138"/>
        <v>Comp. Tij.</v>
      </c>
      <c r="H952" s="238" t="str">
        <f t="shared" si="138"/>
        <v>Larg. Tij.</v>
      </c>
      <c r="I952" s="238" t="str">
        <f t="shared" si="138"/>
        <v>Tipo Fator</v>
      </c>
      <c r="J952" s="238" t="str">
        <f t="shared" si="138"/>
        <v>Vol.</v>
      </c>
      <c r="K952" s="238" t="str">
        <f t="shared" si="138"/>
        <v>Class.</v>
      </c>
      <c r="L952" s="195" t="str">
        <f t="shared" si="138"/>
        <v>Coefic. (%)</v>
      </c>
      <c r="M952" s="195"/>
      <c r="N952" s="195"/>
      <c r="O952" s="195"/>
      <c r="P952" s="195"/>
      <c r="Q952" s="195"/>
      <c r="R952" s="195"/>
      <c r="S952" s="195"/>
      <c r="T952" s="195"/>
      <c r="U952" s="195"/>
      <c r="V952" s="197"/>
      <c r="W952" s="185"/>
      <c r="X952" s="141"/>
      <c r="Z952" s="187"/>
      <c r="AA952" s="187"/>
    </row>
    <row r="953" spans="1:27" s="186" customFormat="1" ht="15" customHeight="1">
      <c r="A953" s="215"/>
      <c r="B953" s="194"/>
      <c r="C953" s="133">
        <f>SUMIF(Densidades!A:A,'Memória TOTAL'!X953,Densidades!B:B)</f>
        <v>0</v>
      </c>
      <c r="D953" s="134">
        <f>SUMIF(Densidades!A:A,'Memória TOTAL'!X953,Densidades!C:C)</f>
        <v>620</v>
      </c>
      <c r="E953" s="135">
        <f>SUMIF(Formatos!A:A,'Memória TOTAL'!X954,Formatos!E:E)</f>
        <v>0</v>
      </c>
      <c r="F953" s="135">
        <f>SUMIF(Formatos!A:A,'Memória TOTAL'!X954,Formatos!F:F)</f>
        <v>0</v>
      </c>
      <c r="G953" s="135">
        <f>SUMIF(Formatos!A:A,'Memória TOTAL'!X954,Formatos!C:C)</f>
        <v>0</v>
      </c>
      <c r="H953" s="135">
        <f>SUMIF(Formatos!A:A,'Memória TOTAL'!X954,Formatos!D:D)</f>
        <v>0</v>
      </c>
      <c r="I953" s="135">
        <f>SUMIF(Densidades!A:A,'Memória TOTAL'!X953,Densidades!H:H)</f>
        <v>0</v>
      </c>
      <c r="J953" s="136">
        <f>SUMIF(Formatos!A:A,'Memória TOTAL'!X954,Formatos!G:G)</f>
        <v>0</v>
      </c>
      <c r="K953" s="222">
        <f>SUMIF(Densidades!A:A,'Memória TOTAL'!X953,Densidades!I:I)</f>
        <v>177</v>
      </c>
      <c r="L953" s="223">
        <v>0</v>
      </c>
      <c r="M953" s="195"/>
      <c r="N953" s="195"/>
      <c r="O953" s="195"/>
      <c r="P953" s="195"/>
      <c r="Q953" s="195"/>
      <c r="R953" s="195"/>
      <c r="S953" s="195"/>
      <c r="T953" s="232"/>
      <c r="U953" s="195"/>
      <c r="V953" s="233">
        <f>IF(H979="","-",SUM(H979))</f>
        <v>0</v>
      </c>
      <c r="W953" s="193">
        <f>IF(V953="-","",ROUNDUP(SUM(V953)*(1+L953),0))</f>
        <v>0</v>
      </c>
      <c r="X953" s="141" t="str">
        <f>X949</f>
        <v/>
      </c>
      <c r="Z953" s="187"/>
      <c r="AA953" s="187"/>
    </row>
    <row r="954" spans="1:27" s="186" customFormat="1" ht="15" customHeight="1">
      <c r="A954" s="215"/>
      <c r="B954" s="194"/>
      <c r="C954" s="200"/>
      <c r="D954" s="195"/>
      <c r="E954" s="195"/>
      <c r="F954" s="195"/>
      <c r="G954" s="195"/>
      <c r="H954" s="195"/>
      <c r="I954" s="195"/>
      <c r="J954" s="196"/>
      <c r="K954" s="196"/>
      <c r="L954" s="144"/>
      <c r="M954" s="195"/>
      <c r="N954" s="195"/>
      <c r="O954" s="195"/>
      <c r="P954" s="195"/>
      <c r="Q954" s="195"/>
      <c r="R954" s="195"/>
      <c r="S954" s="195"/>
      <c r="T954" s="195"/>
      <c r="U954" s="195"/>
      <c r="V954" s="197"/>
      <c r="W954" s="185"/>
      <c r="X954" s="141" t="str">
        <f>IF(X953="","",G979)</f>
        <v/>
      </c>
      <c r="Z954" s="187"/>
      <c r="AA954" s="187"/>
    </row>
    <row r="955" spans="1:27" s="186" customFormat="1" ht="15" customHeight="1">
      <c r="A955" s="215"/>
      <c r="B955" s="194"/>
      <c r="C955" s="200"/>
      <c r="D955" s="195"/>
      <c r="E955" s="195"/>
      <c r="F955" s="195"/>
      <c r="G955" s="195"/>
      <c r="H955" s="195"/>
      <c r="I955" s="195"/>
      <c r="J955" s="196"/>
      <c r="K955" s="196"/>
      <c r="L955" s="144"/>
      <c r="M955" s="195"/>
      <c r="N955" s="195"/>
      <c r="O955" s="195"/>
      <c r="P955" s="195"/>
      <c r="Q955" s="195"/>
      <c r="R955" s="195"/>
      <c r="S955" s="195"/>
      <c r="T955" s="195"/>
      <c r="U955" s="195"/>
      <c r="V955" s="197"/>
      <c r="W955" s="185"/>
      <c r="X955" s="141" t="s">
        <v>524</v>
      </c>
      <c r="Z955" s="187"/>
      <c r="AA955" s="187"/>
    </row>
    <row r="956" spans="1:27" s="186" customFormat="1" ht="15" customHeight="1">
      <c r="A956" s="215"/>
      <c r="B956" s="194"/>
      <c r="C956" s="200" t="str">
        <f t="shared" ref="C956:L956" si="139">C952</f>
        <v>Dens.</v>
      </c>
      <c r="D956" s="195" t="str">
        <f t="shared" si="139"/>
        <v>Emb.</v>
      </c>
      <c r="E956" s="238" t="str">
        <f t="shared" si="139"/>
        <v>Esp. Tij.</v>
      </c>
      <c r="F956" s="238" t="str">
        <f t="shared" si="139"/>
        <v>Esp. Tij.</v>
      </c>
      <c r="G956" s="238" t="str">
        <f t="shared" si="139"/>
        <v>Comp. Tij.</v>
      </c>
      <c r="H956" s="238" t="str">
        <f t="shared" si="139"/>
        <v>Larg. Tij.</v>
      </c>
      <c r="I956" s="238" t="str">
        <f t="shared" si="139"/>
        <v>Tipo Fator</v>
      </c>
      <c r="J956" s="238" t="str">
        <f t="shared" si="139"/>
        <v>Vol.</v>
      </c>
      <c r="K956" s="238" t="str">
        <f t="shared" si="139"/>
        <v>Class.</v>
      </c>
      <c r="L956" s="195" t="str">
        <f t="shared" si="139"/>
        <v>Coefic. (%)</v>
      </c>
      <c r="M956" s="195"/>
      <c r="N956" s="195"/>
      <c r="O956" s="195"/>
      <c r="P956" s="195"/>
      <c r="Q956" s="195"/>
      <c r="R956" s="195"/>
      <c r="S956" s="195"/>
      <c r="T956" s="195"/>
      <c r="U956" s="195"/>
      <c r="V956" s="197"/>
      <c r="W956" s="185"/>
      <c r="X956" s="141"/>
      <c r="Z956" s="187"/>
      <c r="AA956" s="187"/>
    </row>
    <row r="957" spans="1:27" s="186" customFormat="1" ht="15" customHeight="1">
      <c r="A957" s="215"/>
      <c r="B957" s="194"/>
      <c r="C957" s="133">
        <f>SUMIF(Densidades!A:A,'Memória TOTAL'!X957,Densidades!B:B)</f>
        <v>0</v>
      </c>
      <c r="D957" s="134">
        <f>SUMIF(Densidades!A:A,'Memória TOTAL'!X957,Densidades!C:C)</f>
        <v>620</v>
      </c>
      <c r="E957" s="135">
        <f>SUMIF(Formatos!A:A,'Memória TOTAL'!X958,Formatos!E:E)</f>
        <v>0</v>
      </c>
      <c r="F957" s="135">
        <f>SUMIF(Formatos!A:A,'Memória TOTAL'!X958,Formatos!F:F)</f>
        <v>0</v>
      </c>
      <c r="G957" s="135">
        <f>SUMIF(Formatos!A:A,'Memória TOTAL'!X958,Formatos!C:C)</f>
        <v>0</v>
      </c>
      <c r="H957" s="135">
        <f>SUMIF(Formatos!A:A,'Memória TOTAL'!X958,Formatos!D:D)</f>
        <v>0</v>
      </c>
      <c r="I957" s="135">
        <f>SUMIF(Densidades!A:A,'Memória TOTAL'!X957,Densidades!H:H)</f>
        <v>0</v>
      </c>
      <c r="J957" s="136">
        <f>SUMIF(Formatos!A:A,'Memória TOTAL'!X958,Formatos!G:G)</f>
        <v>0</v>
      </c>
      <c r="K957" s="222">
        <f>SUMIF(Densidades!A:A,'Memória TOTAL'!X957,Densidades!I:I)</f>
        <v>177</v>
      </c>
      <c r="L957" s="223">
        <v>0</v>
      </c>
      <c r="M957" s="195"/>
      <c r="N957" s="195"/>
      <c r="O957" s="195"/>
      <c r="P957" s="195"/>
      <c r="Q957" s="195"/>
      <c r="R957" s="195"/>
      <c r="S957" s="195"/>
      <c r="T957" s="232"/>
      <c r="U957" s="195"/>
      <c r="V957" s="233">
        <f>IF(H980="","-",SUM(H980))</f>
        <v>0</v>
      </c>
      <c r="W957" s="193">
        <f>IF(V957="-","",ROUNDUP(SUM(V957)*(1+L957),0))</f>
        <v>0</v>
      </c>
      <c r="X957" s="141" t="str">
        <f>X953</f>
        <v/>
      </c>
      <c r="Z957" s="187"/>
      <c r="AA957" s="187"/>
    </row>
    <row r="958" spans="1:27" s="186" customFormat="1" ht="15" customHeight="1">
      <c r="A958" s="215"/>
      <c r="B958" s="194"/>
      <c r="C958" s="200"/>
      <c r="D958" s="195"/>
      <c r="E958" s="195"/>
      <c r="F958" s="195"/>
      <c r="G958" s="195"/>
      <c r="H958" s="195"/>
      <c r="I958" s="195"/>
      <c r="J958" s="196"/>
      <c r="K958" s="196"/>
      <c r="L958" s="144"/>
      <c r="M958" s="195"/>
      <c r="N958" s="195"/>
      <c r="O958" s="195"/>
      <c r="P958" s="195"/>
      <c r="Q958" s="195"/>
      <c r="R958" s="195"/>
      <c r="S958" s="195"/>
      <c r="T958" s="195"/>
      <c r="U958" s="195"/>
      <c r="V958" s="197"/>
      <c r="W958" s="185"/>
      <c r="X958" s="141" t="str">
        <f>IF(X957="","",G980)</f>
        <v/>
      </c>
      <c r="Z958" s="187"/>
      <c r="AA958" s="187"/>
    </row>
    <row r="959" spans="1:27" s="186" customFormat="1" ht="15" customHeight="1">
      <c r="A959" s="215"/>
      <c r="B959" s="194"/>
      <c r="C959" s="200"/>
      <c r="D959" s="195"/>
      <c r="E959" s="195"/>
      <c r="F959" s="195"/>
      <c r="G959" s="195"/>
      <c r="H959" s="195"/>
      <c r="I959" s="195"/>
      <c r="J959" s="196"/>
      <c r="K959" s="196"/>
      <c r="L959" s="144"/>
      <c r="M959" s="195"/>
      <c r="N959" s="195"/>
      <c r="O959" s="195"/>
      <c r="P959" s="195"/>
      <c r="Q959" s="195"/>
      <c r="R959" s="195"/>
      <c r="S959" s="195"/>
      <c r="T959" s="195"/>
      <c r="U959" s="195"/>
      <c r="V959" s="197"/>
      <c r="W959" s="185"/>
      <c r="X959" s="141" t="s">
        <v>524</v>
      </c>
      <c r="Z959" s="187"/>
      <c r="AA959" s="187"/>
    </row>
    <row r="960" spans="1:27" s="186" customFormat="1" ht="15" customHeight="1">
      <c r="A960" s="215"/>
      <c r="B960" s="194"/>
      <c r="C960" s="200" t="str">
        <f t="shared" ref="C960:L960" si="140">C956</f>
        <v>Dens.</v>
      </c>
      <c r="D960" s="195" t="str">
        <f t="shared" si="140"/>
        <v>Emb.</v>
      </c>
      <c r="E960" s="238" t="str">
        <f t="shared" si="140"/>
        <v>Esp. Tij.</v>
      </c>
      <c r="F960" s="238" t="str">
        <f t="shared" si="140"/>
        <v>Esp. Tij.</v>
      </c>
      <c r="G960" s="238" t="str">
        <f t="shared" si="140"/>
        <v>Comp. Tij.</v>
      </c>
      <c r="H960" s="238" t="str">
        <f t="shared" si="140"/>
        <v>Larg. Tij.</v>
      </c>
      <c r="I960" s="238" t="str">
        <f t="shared" si="140"/>
        <v>Tipo Fator</v>
      </c>
      <c r="J960" s="238" t="str">
        <f t="shared" si="140"/>
        <v>Vol.</v>
      </c>
      <c r="K960" s="238" t="str">
        <f t="shared" si="140"/>
        <v>Class.</v>
      </c>
      <c r="L960" s="195" t="str">
        <f t="shared" si="140"/>
        <v>Coefic. (%)</v>
      </c>
      <c r="M960" s="195"/>
      <c r="N960" s="195" t="s">
        <v>1094</v>
      </c>
      <c r="O960" s="195"/>
      <c r="P960" s="195"/>
      <c r="Q960" s="195"/>
      <c r="R960" s="195"/>
      <c r="S960" s="195"/>
      <c r="T960" s="195"/>
      <c r="U960" s="195"/>
      <c r="V960" s="197"/>
      <c r="W960" s="185"/>
      <c r="X960" s="141"/>
      <c r="Z960" s="187"/>
      <c r="AA960" s="187"/>
    </row>
    <row r="961" spans="1:27" s="186" customFormat="1" ht="15" customHeight="1">
      <c r="A961" s="215"/>
      <c r="B961" s="194"/>
      <c r="C961" s="133">
        <f>SUMIF(Densidades!A:A,'Memória TOTAL'!X961,Densidades!B:B)</f>
        <v>0</v>
      </c>
      <c r="D961" s="134">
        <f>SUMIF(Densidades!A:A,'Memória TOTAL'!X961,Densidades!C:C)</f>
        <v>620</v>
      </c>
      <c r="E961" s="135">
        <f>SUMIF(Formatos!A:A,'Memória TOTAL'!X962,Formatos!E:E)</f>
        <v>0</v>
      </c>
      <c r="F961" s="135">
        <f>SUMIF(Formatos!A:A,'Memória TOTAL'!X962,Formatos!F:F)</f>
        <v>0</v>
      </c>
      <c r="G961" s="135">
        <f>SUMIF(Formatos!A:A,'Memória TOTAL'!X962,Formatos!C:C)</f>
        <v>0</v>
      </c>
      <c r="H961" s="135">
        <f>SUMIF(Formatos!A:A,'Memória TOTAL'!X962,Formatos!D:D)</f>
        <v>0</v>
      </c>
      <c r="I961" s="135">
        <f>SUMIF(Densidades!A:A,'Memória TOTAL'!X961,Densidades!H:H)</f>
        <v>0</v>
      </c>
      <c r="J961" s="136">
        <f>SUMIF(Formatos!A:A,'Memória TOTAL'!X962,Formatos!G:G)</f>
        <v>0</v>
      </c>
      <c r="K961" s="222">
        <f>SUMIF(Densidades!A:A,'Memória TOTAL'!X961,Densidades!I:I)</f>
        <v>177</v>
      </c>
      <c r="L961" s="223">
        <v>0</v>
      </c>
      <c r="M961" s="195"/>
      <c r="N961" s="195"/>
      <c r="O961" s="195"/>
      <c r="P961" s="195"/>
      <c r="Q961" s="195"/>
      <c r="R961" s="195"/>
      <c r="S961" s="195"/>
      <c r="T961" s="232"/>
      <c r="U961" s="195"/>
      <c r="V961" s="233">
        <f>IF(H981="","-",SUM(H981))</f>
        <v>0</v>
      </c>
      <c r="W961" s="193">
        <f>IF(V961="-","",ROUNDUP(SUM(V961)*(1+L961),0))</f>
        <v>0</v>
      </c>
      <c r="X961" s="141" t="str">
        <f>X957</f>
        <v/>
      </c>
      <c r="Z961" s="187"/>
      <c r="AA961" s="187"/>
    </row>
    <row r="962" spans="1:27" s="186" customFormat="1" ht="15" customHeight="1">
      <c r="A962" s="215"/>
      <c r="B962" s="194"/>
      <c r="C962" s="200"/>
      <c r="D962" s="195"/>
      <c r="E962" s="195"/>
      <c r="F962" s="195"/>
      <c r="G962" s="195"/>
      <c r="H962" s="195"/>
      <c r="I962" s="195"/>
      <c r="J962" s="196"/>
      <c r="K962" s="196"/>
      <c r="L962" s="144"/>
      <c r="M962" s="195"/>
      <c r="N962" s="241"/>
      <c r="O962" s="241"/>
      <c r="P962" s="241"/>
      <c r="Q962" s="241"/>
      <c r="R962" s="241"/>
      <c r="S962" s="241"/>
      <c r="T962" s="241"/>
      <c r="U962" s="241"/>
      <c r="V962" s="197"/>
      <c r="W962" s="185"/>
      <c r="X962" s="141" t="str">
        <f>IF(X961="","",G981)</f>
        <v/>
      </c>
      <c r="Z962" s="187"/>
      <c r="AA962" s="187"/>
    </row>
    <row r="963" spans="1:27" s="186" customFormat="1" ht="15" customHeight="1">
      <c r="A963" s="215"/>
      <c r="B963" s="194"/>
      <c r="C963" s="200"/>
      <c r="D963" s="195"/>
      <c r="E963" s="195"/>
      <c r="F963" s="195"/>
      <c r="G963" s="195"/>
      <c r="H963" s="195"/>
      <c r="I963" s="195"/>
      <c r="J963" s="196"/>
      <c r="K963" s="196"/>
      <c r="L963" s="144"/>
      <c r="M963" s="235"/>
      <c r="N963" s="334" t="s">
        <v>1082</v>
      </c>
      <c r="O963" s="335"/>
      <c r="P963" s="335"/>
      <c r="Q963" s="335"/>
      <c r="R963" s="335"/>
      <c r="S963" s="335"/>
      <c r="T963" s="335"/>
      <c r="U963" s="335"/>
      <c r="V963" s="333"/>
      <c r="W963" s="185"/>
      <c r="X963" s="141" t="s">
        <v>524</v>
      </c>
      <c r="Z963" s="187"/>
      <c r="AA963" s="187"/>
    </row>
    <row r="964" spans="1:27" s="186" customFormat="1" ht="15" customHeight="1">
      <c r="A964" s="215"/>
      <c r="B964" s="194"/>
      <c r="C964" s="200" t="str">
        <f t="shared" ref="C964:L964" si="141">C960</f>
        <v>Dens.</v>
      </c>
      <c r="D964" s="195" t="str">
        <f t="shared" si="141"/>
        <v>Emb.</v>
      </c>
      <c r="E964" s="238" t="str">
        <f t="shared" si="141"/>
        <v>Esp. Tij.</v>
      </c>
      <c r="F964" s="238" t="str">
        <f t="shared" si="141"/>
        <v>Esp. Tij.</v>
      </c>
      <c r="G964" s="238" t="str">
        <f t="shared" si="141"/>
        <v>Comp. Tij.</v>
      </c>
      <c r="H964" s="238" t="str">
        <f t="shared" si="141"/>
        <v>Larg. Tij.</v>
      </c>
      <c r="I964" s="238" t="str">
        <f t="shared" si="141"/>
        <v>Tipo Fator</v>
      </c>
      <c r="J964" s="238" t="str">
        <f t="shared" si="141"/>
        <v>Vol.</v>
      </c>
      <c r="K964" s="238" t="str">
        <f t="shared" si="141"/>
        <v>Class.</v>
      </c>
      <c r="L964" s="195" t="str">
        <f t="shared" si="141"/>
        <v>Coefic. (%)</v>
      </c>
      <c r="M964" s="235"/>
      <c r="N964" s="334" t="s">
        <v>2187</v>
      </c>
      <c r="O964" s="335"/>
      <c r="P964" s="335"/>
      <c r="Q964" s="335"/>
      <c r="R964" s="335"/>
      <c r="S964" s="335"/>
      <c r="T964" s="335"/>
      <c r="U964" s="335"/>
      <c r="V964" s="333"/>
      <c r="W964" s="185"/>
      <c r="X964" s="141"/>
      <c r="Z964" s="187"/>
      <c r="AA964" s="187"/>
    </row>
    <row r="965" spans="1:27" s="186" customFormat="1" ht="15" customHeight="1">
      <c r="A965" s="215"/>
      <c r="B965" s="194"/>
      <c r="C965" s="133">
        <f>SUMIF(Densidades!A:A,'Memória TOTAL'!X965,Densidades!B:B)</f>
        <v>0</v>
      </c>
      <c r="D965" s="134">
        <f>SUMIF(Densidades!A:A,'Memória TOTAL'!X965,Densidades!C:C)</f>
        <v>620</v>
      </c>
      <c r="E965" s="135">
        <f>SUMIF(Formatos!A:A,'Memória TOTAL'!X966,Formatos!E:E)</f>
        <v>0</v>
      </c>
      <c r="F965" s="135">
        <f>SUMIF(Formatos!A:A,'Memória TOTAL'!X966,Formatos!F:F)</f>
        <v>0</v>
      </c>
      <c r="G965" s="135">
        <f>SUMIF(Formatos!A:A,'Memória TOTAL'!X966,Formatos!C:C)</f>
        <v>0</v>
      </c>
      <c r="H965" s="135">
        <f>SUMIF(Formatos!A:A,'Memória TOTAL'!X966,Formatos!D:D)</f>
        <v>0</v>
      </c>
      <c r="I965" s="135">
        <f>SUMIF(Densidades!A:A,'Memória TOTAL'!X965,Densidades!H:H)</f>
        <v>0</v>
      </c>
      <c r="J965" s="136">
        <f>SUMIF(Formatos!A:A,'Memória TOTAL'!X966,Formatos!G:G)</f>
        <v>0</v>
      </c>
      <c r="K965" s="222">
        <f>SUMIF(Densidades!A:A,'Memória TOTAL'!X965,Densidades!I:I)</f>
        <v>177</v>
      </c>
      <c r="L965" s="223">
        <v>0</v>
      </c>
      <c r="M965" s="235"/>
      <c r="N965" s="334" t="s">
        <v>2181</v>
      </c>
      <c r="O965" s="335"/>
      <c r="P965" s="335"/>
      <c r="Q965" s="335"/>
      <c r="R965" s="335"/>
      <c r="S965" s="335"/>
      <c r="T965" s="336"/>
      <c r="U965" s="335"/>
      <c r="V965" s="269">
        <f>IF(H982="","-",SUM(H982))</f>
        <v>0</v>
      </c>
      <c r="W965" s="193">
        <f>IF(V965="-","",ROUNDUP(SUM(V965)*(1+L965),0))</f>
        <v>0</v>
      </c>
      <c r="X965" s="141" t="str">
        <f>X961</f>
        <v/>
      </c>
      <c r="Z965" s="187"/>
      <c r="AA965" s="187"/>
    </row>
    <row r="966" spans="1:27" s="186" customFormat="1" ht="15" customHeight="1">
      <c r="A966" s="215"/>
      <c r="B966" s="194"/>
      <c r="C966" s="200"/>
      <c r="D966" s="195"/>
      <c r="E966" s="195"/>
      <c r="F966" s="195"/>
      <c r="G966" s="195"/>
      <c r="H966" s="195"/>
      <c r="I966" s="195"/>
      <c r="J966" s="196"/>
      <c r="K966" s="196"/>
      <c r="L966" s="144"/>
      <c r="M966" s="235"/>
      <c r="N966" s="334" t="s">
        <v>2182</v>
      </c>
      <c r="O966" s="335"/>
      <c r="P966" s="335"/>
      <c r="Q966" s="335"/>
      <c r="R966" s="335"/>
      <c r="S966" s="335"/>
      <c r="T966" s="335"/>
      <c r="U966" s="335"/>
      <c r="V966" s="333"/>
      <c r="W966" s="185"/>
      <c r="X966" s="141" t="str">
        <f>IF(X965="","",G982)</f>
        <v/>
      </c>
      <c r="Z966" s="187"/>
      <c r="AA966" s="187"/>
    </row>
    <row r="967" spans="1:27" s="186" customFormat="1" ht="15" customHeight="1">
      <c r="A967" s="215"/>
      <c r="B967" s="194"/>
      <c r="C967" s="200"/>
      <c r="D967" s="195"/>
      <c r="E967" s="195"/>
      <c r="F967" s="195"/>
      <c r="G967" s="195"/>
      <c r="H967" s="195"/>
      <c r="I967" s="195"/>
      <c r="J967" s="196"/>
      <c r="K967" s="196"/>
      <c r="L967" s="144"/>
      <c r="M967" s="235"/>
      <c r="N967" s="334" t="s">
        <v>2183</v>
      </c>
      <c r="O967" s="335"/>
      <c r="P967" s="335"/>
      <c r="Q967" s="335"/>
      <c r="R967" s="335"/>
      <c r="S967" s="335"/>
      <c r="T967" s="335"/>
      <c r="U967" s="335"/>
      <c r="V967" s="333"/>
      <c r="W967" s="185"/>
      <c r="X967" s="141" t="s">
        <v>524</v>
      </c>
      <c r="Z967" s="187"/>
      <c r="AA967" s="187"/>
    </row>
    <row r="968" spans="1:27" s="186" customFormat="1" ht="15" customHeight="1">
      <c r="A968" s="215"/>
      <c r="B968" s="194"/>
      <c r="C968" s="200" t="str">
        <f t="shared" ref="C968:L968" si="142">C964</f>
        <v>Dens.</v>
      </c>
      <c r="D968" s="195" t="str">
        <f t="shared" si="142"/>
        <v>Emb.</v>
      </c>
      <c r="E968" s="238" t="str">
        <f t="shared" si="142"/>
        <v>Esp. Tij.</v>
      </c>
      <c r="F968" s="238" t="str">
        <f t="shared" si="142"/>
        <v>Esp. Tij.</v>
      </c>
      <c r="G968" s="238" t="str">
        <f t="shared" si="142"/>
        <v>Comp. Tij.</v>
      </c>
      <c r="H968" s="238" t="str">
        <f t="shared" si="142"/>
        <v>Larg. Tij.</v>
      </c>
      <c r="I968" s="238" t="str">
        <f t="shared" si="142"/>
        <v>Tipo Fator</v>
      </c>
      <c r="J968" s="238" t="str">
        <f t="shared" si="142"/>
        <v>Vol.</v>
      </c>
      <c r="K968" s="238" t="str">
        <f t="shared" si="142"/>
        <v>Class.</v>
      </c>
      <c r="L968" s="195" t="str">
        <f t="shared" si="142"/>
        <v>Coefic. (%)</v>
      </c>
      <c r="M968" s="235"/>
      <c r="N968" s="334" t="s">
        <v>2184</v>
      </c>
      <c r="O968" s="335"/>
      <c r="P968" s="335"/>
      <c r="Q968" s="335"/>
      <c r="R968" s="335"/>
      <c r="S968" s="335"/>
      <c r="T968" s="335"/>
      <c r="U968" s="335"/>
      <c r="V968" s="333"/>
      <c r="W968" s="185"/>
      <c r="X968" s="141"/>
      <c r="Z968" s="187"/>
      <c r="AA968" s="187"/>
    </row>
    <row r="969" spans="1:27" s="186" customFormat="1" ht="15" customHeight="1">
      <c r="A969" s="215"/>
      <c r="B969" s="194"/>
      <c r="C969" s="133">
        <f>SUMIF(Densidades!A:A,'Memória TOTAL'!X969,Densidades!B:B)</f>
        <v>0</v>
      </c>
      <c r="D969" s="134">
        <f>SUMIF(Densidades!A:A,'Memória TOTAL'!X969,Densidades!C:C)</f>
        <v>620</v>
      </c>
      <c r="E969" s="135">
        <f>SUMIF(Formatos!A:A,'Memória TOTAL'!X970,Formatos!E:E)</f>
        <v>0</v>
      </c>
      <c r="F969" s="135">
        <f>SUMIF(Formatos!A:A,'Memória TOTAL'!X970,Formatos!F:F)</f>
        <v>0</v>
      </c>
      <c r="G969" s="135">
        <f>SUMIF(Formatos!A:A,'Memória TOTAL'!X970,Formatos!C:C)</f>
        <v>0</v>
      </c>
      <c r="H969" s="135">
        <f>SUMIF(Formatos!A:A,'Memória TOTAL'!X970,Formatos!D:D)</f>
        <v>0</v>
      </c>
      <c r="I969" s="135">
        <f>SUMIF(Densidades!A:A,'Memória TOTAL'!X969,Densidades!H:H)</f>
        <v>0</v>
      </c>
      <c r="J969" s="136">
        <f>SUMIF(Formatos!A:A,'Memória TOTAL'!X970,Formatos!G:G)</f>
        <v>0</v>
      </c>
      <c r="K969" s="222">
        <f>SUMIF(Densidades!A:A,'Memória TOTAL'!X969,Densidades!I:I)</f>
        <v>177</v>
      </c>
      <c r="L969" s="223">
        <v>0</v>
      </c>
      <c r="M969" s="235"/>
      <c r="N969" s="334" t="s">
        <v>2185</v>
      </c>
      <c r="O969" s="335"/>
      <c r="P969" s="335"/>
      <c r="Q969" s="335"/>
      <c r="R969" s="335"/>
      <c r="S969" s="335"/>
      <c r="T969" s="336"/>
      <c r="U969" s="335"/>
      <c r="V969" s="269">
        <f>IF(H983="","-",SUM(H983))</f>
        <v>0</v>
      </c>
      <c r="W969" s="193">
        <f>IF(V969="-","",ROUNDUP(SUM(V969)*(1+L969),0))</f>
        <v>0</v>
      </c>
      <c r="X969" s="141" t="str">
        <f>X965</f>
        <v/>
      </c>
      <c r="Z969" s="187"/>
      <c r="AA969" s="187"/>
    </row>
    <row r="970" spans="1:27" s="186" customFormat="1" ht="15" customHeight="1">
      <c r="A970" s="215"/>
      <c r="B970" s="194"/>
      <c r="C970" s="200"/>
      <c r="D970" s="195"/>
      <c r="E970" s="195"/>
      <c r="F970" s="195"/>
      <c r="G970" s="195"/>
      <c r="H970" s="195"/>
      <c r="I970" s="195"/>
      <c r="J970" s="196"/>
      <c r="K970" s="196"/>
      <c r="L970" s="144"/>
      <c r="M970" s="195"/>
      <c r="N970" s="334" t="s">
        <v>2186</v>
      </c>
      <c r="O970" s="195"/>
      <c r="P970" s="195"/>
      <c r="Q970" s="195"/>
      <c r="R970" s="195"/>
      <c r="S970" s="195"/>
      <c r="T970" s="195"/>
      <c r="U970" s="195"/>
      <c r="V970" s="197"/>
      <c r="W970" s="185"/>
      <c r="X970" s="141" t="str">
        <f>IF(X969="","",G983)</f>
        <v/>
      </c>
      <c r="Z970" s="187"/>
      <c r="AA970" s="187"/>
    </row>
    <row r="971" spans="1:27" s="186" customFormat="1" ht="15" customHeight="1">
      <c r="A971" s="215"/>
      <c r="B971" s="194"/>
      <c r="C971" s="200"/>
      <c r="D971" s="195"/>
      <c r="E971" s="195"/>
      <c r="F971" s="195"/>
      <c r="G971" s="195"/>
      <c r="H971" s="195"/>
      <c r="I971" s="195"/>
      <c r="J971" s="196"/>
      <c r="K971" s="196"/>
      <c r="L971" s="144"/>
      <c r="M971" s="195"/>
      <c r="N971" s="195"/>
      <c r="O971" s="195"/>
      <c r="P971" s="195"/>
      <c r="Q971" s="195"/>
      <c r="R971" s="195"/>
      <c r="S971" s="195"/>
      <c r="T971" s="195"/>
      <c r="U971" s="195"/>
      <c r="V971" s="197"/>
      <c r="W971" s="185"/>
      <c r="X971" s="141" t="s">
        <v>524</v>
      </c>
      <c r="Z971" s="187"/>
      <c r="AA971" s="187"/>
    </row>
    <row r="972" spans="1:27" s="186" customFormat="1" ht="15" customHeight="1" thickBot="1">
      <c r="A972" s="215"/>
      <c r="B972" s="194"/>
      <c r="C972" s="200"/>
      <c r="D972" s="195"/>
      <c r="E972" s="195"/>
      <c r="F972" s="195"/>
      <c r="G972" s="241"/>
      <c r="H972" s="241"/>
      <c r="I972" s="195"/>
      <c r="J972" s="196"/>
      <c r="K972" s="196"/>
      <c r="L972" s="144"/>
      <c r="M972" s="195"/>
      <c r="N972" s="195"/>
      <c r="O972" s="195"/>
      <c r="P972" s="195"/>
      <c r="Q972" s="195"/>
      <c r="R972" s="195"/>
      <c r="S972" s="195"/>
      <c r="T972" s="195"/>
      <c r="U972" s="195"/>
      <c r="V972" s="197"/>
      <c r="W972" s="185"/>
      <c r="X972" s="141"/>
      <c r="Z972" s="187"/>
      <c r="AA972" s="187"/>
    </row>
    <row r="973" spans="1:27" s="186" customFormat="1" ht="15" customHeight="1" thickBot="1">
      <c r="A973" s="215"/>
      <c r="B973" s="194"/>
      <c r="C973" s="200"/>
      <c r="D973" s="195"/>
      <c r="E973" s="195"/>
      <c r="F973" s="235"/>
      <c r="G973" s="784" t="s">
        <v>1023</v>
      </c>
      <c r="H973" s="784"/>
      <c r="I973" s="236"/>
      <c r="J973" s="196"/>
      <c r="K973" s="196"/>
      <c r="L973" s="196"/>
      <c r="M973" s="785" t="s">
        <v>1015</v>
      </c>
      <c r="N973" s="786"/>
      <c r="O973" s="786"/>
      <c r="P973" s="786"/>
      <c r="Q973" s="787"/>
      <c r="R973" s="785" t="s">
        <v>1016</v>
      </c>
      <c r="S973" s="786"/>
      <c r="T973" s="786"/>
      <c r="U973" s="786"/>
      <c r="V973" s="787"/>
      <c r="W973" s="185"/>
      <c r="X973" s="141"/>
      <c r="Z973" s="187"/>
      <c r="AA973" s="187"/>
    </row>
    <row r="974" spans="1:27" s="186" customFormat="1" ht="15" customHeight="1" thickBot="1">
      <c r="A974" s="215"/>
      <c r="B974" s="194"/>
      <c r="C974" s="297" t="s">
        <v>989</v>
      </c>
      <c r="D974" s="195"/>
      <c r="E974" s="195"/>
      <c r="F974" s="235"/>
      <c r="G974" s="326" t="str">
        <f>M975</f>
        <v>S9X41/2X3</v>
      </c>
      <c r="H974" s="326">
        <f>IF(I974=1,SUMIF(M987:M1036,G974,T987:T1036)+SUMIF(O987:O1036,G974,U987:U1036)+SUMIF(Q987:Q1036,G974,V987:V1036),0)</f>
        <v>0</v>
      </c>
      <c r="I974" s="236">
        <f>COUNTIF(G974,G974)</f>
        <v>1</v>
      </c>
      <c r="J974" s="196"/>
      <c r="K974" s="196"/>
      <c r="L974" s="328" t="s">
        <v>1078</v>
      </c>
      <c r="M974" s="317" t="s">
        <v>104</v>
      </c>
      <c r="N974" s="318" t="s">
        <v>1075</v>
      </c>
      <c r="O974" s="318" t="s">
        <v>65</v>
      </c>
      <c r="P974" s="318" t="s">
        <v>7</v>
      </c>
      <c r="Q974" s="318" t="s">
        <v>15</v>
      </c>
      <c r="R974" s="317" t="s">
        <v>104</v>
      </c>
      <c r="S974" s="318" t="s">
        <v>1075</v>
      </c>
      <c r="T974" s="318" t="s">
        <v>65</v>
      </c>
      <c r="U974" s="318" t="s">
        <v>539</v>
      </c>
      <c r="V974" s="319" t="s">
        <v>540</v>
      </c>
      <c r="W974" s="185"/>
      <c r="X974" s="141"/>
      <c r="Z974" s="187"/>
      <c r="AA974" s="187"/>
    </row>
    <row r="975" spans="1:27" s="186" customFormat="1" ht="15" customHeight="1" thickBot="1">
      <c r="A975" s="215"/>
      <c r="B975" s="194"/>
      <c r="C975" s="256"/>
      <c r="D975" s="195"/>
      <c r="E975" s="195"/>
      <c r="F975" s="235"/>
      <c r="G975" s="326" t="str">
        <f>M976</f>
        <v>A9X41/2X3-23/4</v>
      </c>
      <c r="H975" s="326">
        <f>IF(I975=1,SUMIF(M987:M1036,G975,T987:T1036)+SUMIF(O987:O1036,G975,U987:U1036)+SUMIF(Q987:Q1036,G975,V987:V1036),0)</f>
        <v>0</v>
      </c>
      <c r="I975" s="236">
        <f>COUNTIF(G974:G975,G975)</f>
        <v>1</v>
      </c>
      <c r="J975" s="196"/>
      <c r="K975" s="196"/>
      <c r="L975" s="329" t="e">
        <f>IF(M975="","",((O975*Q975)/(P975-Q975)+O975)*2)</f>
        <v>#DIV/0!</v>
      </c>
      <c r="M975" s="263" t="s">
        <v>1317</v>
      </c>
      <c r="N975" s="320">
        <f>IF(M975="","",IF(VLOOKUP(M975,Formatos!A:F,2,FALSE)="S",IF(VLOOKUP(M976,Formatos!A:F,2,FALSE)="W",VLOOKUP(M976,Formatos!A:F,4,FALSE),VLOOKUP(M976,Formatos!A:F,3,FALSE)),IF(VLOOKUP(M975,Formatos!A:F,2,FALSE)="W",VLOOKUP(M975,Formatos!A:F,4,FALSE),VLOOKUP(M975,Formatos!A:F,3,FALSE))))</f>
        <v>228.6</v>
      </c>
      <c r="O975" s="320">
        <f>IF(M975="","",IF(VLOOKUP(M975,Formatos!A:F,2,FALSE)="S",IF(VLOOKUP(M976,Formatos!A:F,2,FALSE)="W",VLOOKUP(M976,Formatos!A:F,3,FALSE),VLOOKUP(M976,Formatos!A:F,4,FALSE)),IF(VLOOKUP(M975,Formatos!A:F,2,FALSE)="W",VLOOKUP(M975,Formatos!A:F,3,FALSE),VLOOKUP(M975,Formatos!A:F,4,FALSE))))</f>
        <v>114.3</v>
      </c>
      <c r="P975" s="320">
        <f>IF(M975="","",IF(VLOOKUP(M975,Formatos!A:F,5,FALSE)=O975,VLOOKUP(M975,Formatos!A:F,4,FALSE),VLOOKUP(M975,Formatos!A:F,5,FALSE)))</f>
        <v>76.2</v>
      </c>
      <c r="Q975" s="320">
        <f>IF(M975="","",IF(VLOOKUP(M975,Formatos!A:F,6,FALSE)=O975,VLOOKUP(M975,Formatos!A:F,4,FALSE),VLOOKUP(M975,Formatos!A:F,6,FALSE)))</f>
        <v>76.2</v>
      </c>
      <c r="R975" s="263" t="s">
        <v>1525</v>
      </c>
      <c r="S975" s="320">
        <f>IF(R975="","",IF(VLOOKUP(R975,Formatos!A:F,3,FALSE)=N975,VLOOKUP(R975,Formatos!A:F,3,FALSE),VLOOKUP(R975,Formatos!A:F,4,FALSE)))</f>
        <v>228.6</v>
      </c>
      <c r="T975" s="320">
        <f>IF(R975="","",IF(VLOOKUP(R975,Formatos!A:F,4,FALSE)=O975,VLOOKUP(R975,Formatos!A:F,4,FALSE),VLOOKUP(R975,Formatos!A:F,3,FALSE)))</f>
        <v>114.3</v>
      </c>
      <c r="U975" s="320">
        <f>IF(R975="","",VLOOKUP(R975,Formatos!A:F,5,FALSE))</f>
        <v>76.2</v>
      </c>
      <c r="V975" s="320">
        <f>IF(R975="","",VLOOKUP(R975,Formatos!A:F,6,FALSE))</f>
        <v>50.8</v>
      </c>
      <c r="W975" s="185"/>
      <c r="X975" s="141"/>
      <c r="Z975" s="187"/>
      <c r="AA975" s="187"/>
    </row>
    <row r="976" spans="1:27" s="186" customFormat="1" ht="15" customHeight="1" thickBot="1">
      <c r="A976" s="215"/>
      <c r="B976" s="194"/>
      <c r="C976" s="200"/>
      <c r="D976" s="195"/>
      <c r="E976" s="195"/>
      <c r="F976" s="235"/>
      <c r="G976" s="326">
        <f>M977</f>
        <v>0</v>
      </c>
      <c r="H976" s="326" t="e">
        <f>IF(I976=1,SUMIF(M987:M1036,G976,T987:T1036)+SUMIF(O987:O1036,G976,U987:U1036)+SUMIF(Q987:Q1036,G976,V987:V1036),0)</f>
        <v>#N/A</v>
      </c>
      <c r="I976" s="236">
        <f>COUNTIF(G974:G976,G976)</f>
        <v>1</v>
      </c>
      <c r="J976" s="196"/>
      <c r="K976" s="196"/>
      <c r="L976" s="329">
        <f>IF(M976="","",((O976*Q976)/(P976-Q976)+O976)*2)</f>
        <v>2764.9714285714299</v>
      </c>
      <c r="M976" s="263" t="s">
        <v>1126</v>
      </c>
      <c r="N976" s="320">
        <f>IF(M976="","",IF(VLOOKUP(M976,Formatos!A:F,2,FALSE)="S",IF(VLOOKUP(M977,Formatos!A:F,2,FALSE)="W",VLOOKUP(M977,Formatos!A:F,4,FALSE),VLOOKUP(M977,Formatos!A:F,3,FALSE)),IF(VLOOKUP(M976,Formatos!A:F,2,FALSE)="W",VLOOKUP(M976,Formatos!A:F,4,FALSE),VLOOKUP(M976,Formatos!A:F,3,FALSE))))</f>
        <v>228.6</v>
      </c>
      <c r="O976" s="320">
        <f>IF(M976="","",IF(VLOOKUP(M976,Formatos!A:F,2,FALSE)="S",IF(VLOOKUP(M977,Formatos!A:F,2,FALSE)="W",VLOOKUP(M977,Formatos!A:F,3,FALSE),VLOOKUP(M977,Formatos!A:F,4,FALSE)),IF(VLOOKUP(M976,Formatos!A:F,2,FALSE)="W",VLOOKUP(M976,Formatos!A:F,3,FALSE),VLOOKUP(M976,Formatos!A:F,4,FALSE))))</f>
        <v>114.3</v>
      </c>
      <c r="P976" s="320">
        <f>IF(M976="","",IF(VLOOKUP(M976,Formatos!A:F,5,FALSE)=O976,VLOOKUP(M976,Formatos!A:F,4,FALSE),VLOOKUP(M976,Formatos!A:F,5,FALSE)))</f>
        <v>76.2</v>
      </c>
      <c r="Q976" s="320">
        <f>IF(M976="","",IF(VLOOKUP(M976,Formatos!A:F,6,FALSE)=O976,VLOOKUP(M976,Formatos!A:F,4,FALSE),VLOOKUP(M976,Formatos!A:F,6,FALSE)))</f>
        <v>69.900000000000006</v>
      </c>
      <c r="R976" s="263"/>
      <c r="S976" s="320" t="str">
        <f>IF(R976="","",IF(VLOOKUP(R976,Formatos!A:F,3,FALSE)=N975,VLOOKUP(R976,Formatos!A:F,3,FALSE),VLOOKUP(R976,Formatos!A:F,4,FALSE)))</f>
        <v/>
      </c>
      <c r="T976" s="320" t="str">
        <f>IF(R976="","",IF(VLOOKUP(R976,Formatos!A:F,4,FALSE)=O975,VLOOKUP(R976,Formatos!A:F,4,FALSE),VLOOKUP(R976,Formatos!A:F,3,FALSE)))</f>
        <v/>
      </c>
      <c r="U976" s="320" t="str">
        <f>IF(R976="","",VLOOKUP(R976,Formatos!A:F,5,FALSE))</f>
        <v/>
      </c>
      <c r="V976" s="320" t="str">
        <f>IF(R976="","",VLOOKUP(R976,Formatos!A:F,6,FALSE))</f>
        <v/>
      </c>
      <c r="W976" s="185"/>
      <c r="X976" s="141"/>
      <c r="Z976" s="187"/>
      <c r="AA976" s="187"/>
    </row>
    <row r="977" spans="1:27" s="186" customFormat="1" ht="15" customHeight="1" thickBot="1">
      <c r="A977" s="215"/>
      <c r="B977" s="194"/>
      <c r="C977" s="297" t="s">
        <v>46</v>
      </c>
      <c r="D977" s="195"/>
      <c r="E977" s="195"/>
      <c r="F977" s="235"/>
      <c r="G977" s="326">
        <f>M978</f>
        <v>0</v>
      </c>
      <c r="H977" s="326">
        <f>IF(I977=1,SUMIF(M987:M1036,G977,T987:T1036)+SUMIF(O987:O1036,G977,U987:U1036)+SUMIF(Q987:Q1036,G977,V987:V1036),0)</f>
        <v>0</v>
      </c>
      <c r="I977" s="236">
        <f>COUNTIF(G974:G977,G977)</f>
        <v>2</v>
      </c>
      <c r="J977" s="196"/>
      <c r="K977" s="196"/>
      <c r="L977" s="329" t="str">
        <f>IF(M977="","",((O977*Q977)/(P977-Q977)+O977)*2)</f>
        <v/>
      </c>
      <c r="M977" s="263"/>
      <c r="N977" s="320" t="str">
        <f>IF(M977="","",IF(VLOOKUP(M977,Formatos!A:F,2,FALSE)="S",IF(VLOOKUP(M978,Formatos!A:F,2,FALSE)="W",VLOOKUP(M978,Formatos!A:F,4,FALSE),VLOOKUP(M978,Formatos!A:F,3,FALSE)),IF(VLOOKUP(M977,Formatos!A:F,2,FALSE)="W",VLOOKUP(M977,Formatos!A:F,4,FALSE),VLOOKUP(M977,Formatos!A:F,3,FALSE))))</f>
        <v/>
      </c>
      <c r="O977" s="320" t="str">
        <f>IF(M977="","",IF(VLOOKUP(M977,Formatos!A:F,2,FALSE)="S",IF(VLOOKUP(M978,Formatos!A:F,2,FALSE)="W",VLOOKUP(M978,Formatos!A:F,3,FALSE),VLOOKUP(M978,Formatos!A:F,4,FALSE)),IF(VLOOKUP(M977,Formatos!A:F,2,FALSE)="W",VLOOKUP(M977,Formatos!A:F,3,FALSE),VLOOKUP(M977,Formatos!A:F,4,FALSE))))</f>
        <v/>
      </c>
      <c r="P977" s="320" t="str">
        <f>IF(M977="","",IF(VLOOKUP(M977,Formatos!A:F,5,FALSE)=O977,VLOOKUP(M977,Formatos!A:F,4,FALSE),VLOOKUP(M977,Formatos!A:F,5,FALSE)))</f>
        <v/>
      </c>
      <c r="Q977" s="320" t="str">
        <f>IF(M977="","",IF(VLOOKUP(M977,Formatos!A:F,6,FALSE)=O977,VLOOKUP(M977,Formatos!A:F,4,FALSE),VLOOKUP(M977,Formatos!A:F,6,FALSE)))</f>
        <v/>
      </c>
      <c r="R977" s="263"/>
      <c r="S977" s="320" t="str">
        <f>IF(R977="","",IF(VLOOKUP(R977,Formatos!A:F,3,FALSE)=N975,VLOOKUP(R977,Formatos!A:F,3,FALSE),VLOOKUP(R977,Formatos!A:F,4,FALSE)))</f>
        <v/>
      </c>
      <c r="T977" s="320" t="str">
        <f>IF(R977="","",IF(VLOOKUP(R977,Formatos!A:F,4,FALSE)=O975,VLOOKUP(R977,Formatos!A:F,4,FALSE),VLOOKUP(R977,Formatos!A:F,3,FALSE)))</f>
        <v/>
      </c>
      <c r="U977" s="320" t="str">
        <f>IF(R977="","",VLOOKUP(R977,Formatos!A:F,5,FALSE))</f>
        <v/>
      </c>
      <c r="V977" s="320" t="str">
        <f>IF(R977="","",VLOOKUP(R977,Formatos!A:F,6,FALSE))</f>
        <v/>
      </c>
      <c r="W977" s="185"/>
      <c r="X977" s="141"/>
      <c r="Z977" s="187"/>
      <c r="AA977" s="187"/>
    </row>
    <row r="978" spans="1:27" s="186" customFormat="1" ht="15" customHeight="1" thickBot="1">
      <c r="A978" s="215"/>
      <c r="B978" s="194"/>
      <c r="C978" s="608"/>
      <c r="D978" s="195"/>
      <c r="E978" s="195"/>
      <c r="F978" s="235"/>
      <c r="G978" s="326">
        <f>M979</f>
        <v>0</v>
      </c>
      <c r="H978" s="326">
        <f>IF(I978=1,SUMIF(M987:M1036,G978,T987:T1036)+SUMIF(O987:O1036,G978,U987:U1036)+SUMIF(Q987:Q1036,G978,V987:V1036),0)</f>
        <v>0</v>
      </c>
      <c r="I978" s="236">
        <f>COUNTIF(G974:G978,G978)</f>
        <v>3</v>
      </c>
      <c r="J978" s="196"/>
      <c r="K978" s="196"/>
      <c r="L978" s="196" t="str">
        <f>IF(M978="","",((O978*Q978)/(P978-Q978)+O978)*2)</f>
        <v/>
      </c>
      <c r="M978" s="263"/>
      <c r="N978" s="320" t="str">
        <f>IF(M978="","",IF(VLOOKUP(M978,Formatos!A:F,2,FALSE)="S",IF(VLOOKUP(M979,Formatos!A:F,2,FALSE)="W",VLOOKUP(M979,Formatos!A:F,4,FALSE),VLOOKUP(M979,Formatos!A:F,3,FALSE)),IF(VLOOKUP(M978,Formatos!A:F,2,FALSE)="W",VLOOKUP(M978,Formatos!A:F,4,FALSE),VLOOKUP(M978,Formatos!A:F,3,FALSE))))</f>
        <v/>
      </c>
      <c r="O978" s="320" t="str">
        <f>IF(M978="","",IF(VLOOKUP(M978,Formatos!A:F,2,FALSE)="S",IF(VLOOKUP(M979,Formatos!A:F,2,FALSE)="W",VLOOKUP(M979,Formatos!A:F,3,FALSE),VLOOKUP(M979,Formatos!A:F,4,FALSE)),IF(VLOOKUP(M978,Formatos!A:F,2,FALSE)="W",VLOOKUP(M978,Formatos!A:F,3,FALSE),VLOOKUP(M978,Formatos!A:F,4,FALSE))))</f>
        <v/>
      </c>
      <c r="P978" s="320" t="str">
        <f>IF(M978="","",IF(VLOOKUP(M978,Formatos!A:F,5,FALSE)=O978,VLOOKUP(M978,Formatos!A:F,4,FALSE),VLOOKUP(M978,Formatos!A:F,5,FALSE)))</f>
        <v/>
      </c>
      <c r="Q978" s="320" t="str">
        <f>IF(M978="","",IF(VLOOKUP(M978,Formatos!A:F,6,FALSE)=O978,VLOOKUP(M978,Formatos!A:F,4,FALSE),VLOOKUP(M978,Formatos!A:F,6,FALSE)))</f>
        <v/>
      </c>
      <c r="R978" s="263"/>
      <c r="S978" s="320" t="str">
        <f>IF(R978="","",IF(VLOOKUP(R978,Formatos!A:F,3,FALSE)=N975,VLOOKUP(R978,Formatos!A:F,3,FALSE),VLOOKUP(R978,Formatos!A:F,4,FALSE)))</f>
        <v/>
      </c>
      <c r="T978" s="320" t="str">
        <f>IF(R978="","",IF(VLOOKUP(R978,Formatos!A:F,4,FALSE)=O975,VLOOKUP(R978,Formatos!A:F,4,FALSE),VLOOKUP(R978,Formatos!A:F,3,FALSE)))</f>
        <v/>
      </c>
      <c r="U978" s="320" t="str">
        <f>IF(R978="","",VLOOKUP(R978,Formatos!A:F,5,FALSE))</f>
        <v/>
      </c>
      <c r="V978" s="320" t="str">
        <f>IF(R978="","",VLOOKUP(R978,Formatos!A:F,6,FALSE))</f>
        <v/>
      </c>
      <c r="W978" s="185"/>
      <c r="X978" s="141"/>
      <c r="Z978" s="187"/>
      <c r="AA978" s="187"/>
    </row>
    <row r="979" spans="1:27" s="186" customFormat="1" ht="15" customHeight="1" thickBot="1">
      <c r="A979" s="215"/>
      <c r="B979" s="194"/>
      <c r="C979" s="200"/>
      <c r="D979" s="195"/>
      <c r="E979" s="195"/>
      <c r="F979" s="235"/>
      <c r="G979" s="326" t="str">
        <f>R975</f>
        <v>W9X41/2X3-2</v>
      </c>
      <c r="H979" s="326">
        <f>IF(I979=1,SUMIF(M987:M1036,G979,T987:T1036)+SUMIF(O987:O1036,G979,U987:U1036)+SUMIF(Q987:Q1036,G979,V987:V1036),0)</f>
        <v>0</v>
      </c>
      <c r="I979" s="236">
        <f>COUNTIF(G974:G979,G979)</f>
        <v>1</v>
      </c>
      <c r="J979" s="196"/>
      <c r="K979" s="196"/>
      <c r="L979" s="196" t="str">
        <f>IF(M979="","",((O979*Q979)/(P979-Q979)+O979)*2)</f>
        <v/>
      </c>
      <c r="M979" s="263"/>
      <c r="N979" s="320" t="str">
        <f>IF(M979="","",IF(VLOOKUP(M979,Formatos!A:F,2,FALSE)="S",IF(VLOOKUP(M980,Formatos!A:F,2,FALSE)="W",VLOOKUP(M980,Formatos!A:F,4,FALSE),VLOOKUP(M980,Formatos!A:F,3,FALSE)),IF(VLOOKUP(M979,Formatos!A:F,2,FALSE)="W",VLOOKUP(M979,Formatos!A:F,4,FALSE),VLOOKUP(M979,Formatos!A:F,3,FALSE))))</f>
        <v/>
      </c>
      <c r="O979" s="320" t="str">
        <f>IF(M979="","",IF(VLOOKUP(M979,Formatos!A:F,2,FALSE)="S",IF(VLOOKUP(M980,Formatos!A:F,2,FALSE)="W",VLOOKUP(M980,Formatos!A:F,3,FALSE),VLOOKUP(M980,Formatos!A:F,4,FALSE)),IF(VLOOKUP(M979,Formatos!A:F,2,FALSE)="W",VLOOKUP(M979,Formatos!A:F,3,FALSE),VLOOKUP(M979,Formatos!A:F,4,FALSE))))</f>
        <v/>
      </c>
      <c r="P979" s="320" t="str">
        <f>IF(M979="","",IF(VLOOKUP(M979,Formatos!A:F,5,FALSE)=O979,VLOOKUP(M979,Formatos!A:F,4,FALSE),VLOOKUP(M979,Formatos!A:F,5,FALSE)))</f>
        <v/>
      </c>
      <c r="Q979" s="320" t="str">
        <f>IF(M979="","",IF(VLOOKUP(M979,Formatos!A:F,6,FALSE)=O979,VLOOKUP(M979,Formatos!A:F,4,FALSE),VLOOKUP(M979,Formatos!A:F,6,FALSE)))</f>
        <v/>
      </c>
      <c r="R979" s="263"/>
      <c r="S979" s="320" t="str">
        <f>IF(R979="","",IF(VLOOKUP(R979,Formatos!A:F,3,FALSE)=N975,VLOOKUP(R979,Formatos!A:F,3,FALSE),VLOOKUP(R979,Formatos!A:F,4,FALSE)))</f>
        <v/>
      </c>
      <c r="T979" s="320" t="str">
        <f>IF(R979="","",IF(VLOOKUP(R979,Formatos!A:F,4,FALSE)=O975,VLOOKUP(R979,Formatos!A:F,4,FALSE),VLOOKUP(R979,Formatos!A:F,3,FALSE)))</f>
        <v/>
      </c>
      <c r="U979" s="320" t="str">
        <f>IF(R979="","",VLOOKUP(R979,Formatos!A:F,5,FALSE))</f>
        <v/>
      </c>
      <c r="V979" s="320" t="str">
        <f>IF(R979="","",VLOOKUP(R979,Formatos!A:F,6,FALSE))</f>
        <v/>
      </c>
      <c r="W979" s="185"/>
      <c r="X979" s="141"/>
      <c r="Z979" s="187"/>
      <c r="AA979" s="187"/>
    </row>
    <row r="980" spans="1:27" s="186" customFormat="1" ht="15" customHeight="1" thickBot="1">
      <c r="A980" s="215"/>
      <c r="B980" s="194"/>
      <c r="C980" s="297" t="s">
        <v>53</v>
      </c>
      <c r="D980" s="195"/>
      <c r="E980" s="195"/>
      <c r="F980" s="235"/>
      <c r="G980" s="326">
        <f>R976</f>
        <v>0</v>
      </c>
      <c r="H980" s="326">
        <f>IF(I980=1,SUMIF(M987:M1036,G980,T987:T1036)+SUMIF(O987:O1036,G980,U987:U1036)+SUMIF(Q987:Q1036,G980,V987:V1036),0)</f>
        <v>0</v>
      </c>
      <c r="I980" s="236">
        <f>COUNTIF(G974:G980,G980)</f>
        <v>4</v>
      </c>
      <c r="J980" s="196"/>
      <c r="K980" s="196"/>
      <c r="L980" s="196"/>
      <c r="S980" s="195"/>
      <c r="T980" s="195"/>
      <c r="U980" s="195"/>
      <c r="V980" s="197"/>
      <c r="W980" s="185"/>
      <c r="X980" s="141"/>
      <c r="Z980" s="187"/>
      <c r="AA980" s="187"/>
    </row>
    <row r="981" spans="1:27" s="186" customFormat="1" ht="15" customHeight="1" thickBot="1">
      <c r="A981" s="215"/>
      <c r="B981" s="194"/>
      <c r="C981" s="256"/>
      <c r="D981" s="195"/>
      <c r="E981" s="195"/>
      <c r="F981" s="235"/>
      <c r="G981" s="326">
        <f>R977</f>
        <v>0</v>
      </c>
      <c r="H981" s="326">
        <f>IF(I981=1,SUMIF(M987:M1036,G981,T987:T1036)+SUMIF(O987:O1036,G981,U987:U1036)+SUMIF(Q987:Q1036,G981,V987:V1036),0)</f>
        <v>0</v>
      </c>
      <c r="I981" s="236">
        <f>COUNTIF(G974:G981,G981)</f>
        <v>5</v>
      </c>
      <c r="J981" s="196"/>
      <c r="K981" s="196"/>
      <c r="L981" s="196"/>
      <c r="M981" s="321" t="s">
        <v>1014</v>
      </c>
      <c r="N981" s="321" t="str">
        <f>IF(R975="","CN1",R975)</f>
        <v>W9X41/2X3-2</v>
      </c>
      <c r="O981" s="321" t="str">
        <f>IF(R976="","CN2",R976)</f>
        <v>CN2</v>
      </c>
      <c r="P981" s="321" t="str">
        <f>IF(R977="","CN3",R977)</f>
        <v>CN3</v>
      </c>
      <c r="Q981" s="321" t="str">
        <f>IF(R978="","CN4",R978)</f>
        <v>CN4</v>
      </c>
      <c r="R981" s="321" t="str">
        <f>IF(R979="","CN5",R979)</f>
        <v>CN5</v>
      </c>
      <c r="S981" s="195"/>
      <c r="T981" s="195"/>
      <c r="U981" s="195"/>
      <c r="V981" s="197"/>
      <c r="W981" s="185"/>
      <c r="X981" s="141"/>
      <c r="Z981" s="187"/>
      <c r="AA981" s="187"/>
    </row>
    <row r="982" spans="1:27" s="186" customFormat="1" ht="15" customHeight="1" thickBot="1">
      <c r="A982" s="215"/>
      <c r="B982" s="194"/>
      <c r="C982" s="200"/>
      <c r="D982" s="195"/>
      <c r="E982" s="195"/>
      <c r="F982" s="235"/>
      <c r="G982" s="326">
        <f>R978</f>
        <v>0</v>
      </c>
      <c r="H982" s="326">
        <f>IF(I982=1,SUMIF(M987:M1036,G982,T987:T1036)+SUMIF(O987:O1036,G982,U987:U1036)+SUMIF(Q987:Q1036,G982,V987:V1036),0)</f>
        <v>0</v>
      </c>
      <c r="I982" s="236">
        <f>COUNTIF(G973:G982,G982)</f>
        <v>6</v>
      </c>
      <c r="J982" s="196"/>
      <c r="K982" s="196"/>
      <c r="L982" s="196"/>
      <c r="M982" s="578">
        <f>C981</f>
        <v>0</v>
      </c>
      <c r="N982" s="322">
        <f>IF(R975="","",SIN(RADIANS(M982))*S975*2*PI()/(U975-V975))</f>
        <v>0</v>
      </c>
      <c r="O982" s="322" t="str">
        <f>IF(R976="","",SIN(RADIANS(M982))*S976*2*PI()/(U976-V976))</f>
        <v/>
      </c>
      <c r="P982" s="322" t="str">
        <f>IF(R977="","",SIN(RADIANS(M982))*S977*2*PI()/(U977-V977))</f>
        <v/>
      </c>
      <c r="Q982" s="322" t="str">
        <f>IF(R978="","",SIN(RADIANS(M982))*S978*2*PI()/(U978-V978))</f>
        <v/>
      </c>
      <c r="R982" s="322" t="str">
        <f>IF(R979="","",SIN(RADIANS(M982))*S979*2*PI()/(U979-V979))</f>
        <v/>
      </c>
      <c r="S982" s="195"/>
      <c r="T982" s="195"/>
      <c r="U982" s="195"/>
      <c r="V982" s="197"/>
      <c r="W982" s="185"/>
      <c r="X982" s="141"/>
      <c r="Z982" s="187"/>
      <c r="AA982" s="187"/>
    </row>
    <row r="983" spans="1:27" s="186" customFormat="1" ht="15" customHeight="1">
      <c r="A983" s="215"/>
      <c r="B983" s="194"/>
      <c r="C983" s="200"/>
      <c r="D983" s="195"/>
      <c r="E983" s="195"/>
      <c r="F983" s="235"/>
      <c r="G983" s="326">
        <f>R979</f>
        <v>0</v>
      </c>
      <c r="H983" s="326">
        <f>IF(I983=1,SUMIF(M987:M1036,G983,T987:T1036)+SUMIF(O987:O1036,G983,U987:U1036)+SUMIF(Q987:Q1036,G983,V987:V1036),0)</f>
        <v>0</v>
      </c>
      <c r="I983" s="236">
        <f>COUNTIF(G974:G983,G983)</f>
        <v>7</v>
      </c>
      <c r="J983" s="196"/>
      <c r="K983" s="196"/>
      <c r="L983" s="196"/>
      <c r="M983" s="195"/>
      <c r="N983" s="195"/>
      <c r="O983" s="195"/>
      <c r="P983" s="195"/>
      <c r="Q983" s="195"/>
      <c r="R983" s="195"/>
      <c r="S983" s="195"/>
      <c r="T983" s="195"/>
      <c r="U983" s="195"/>
      <c r="V983" s="197"/>
      <c r="W983" s="231"/>
      <c r="X983" s="141"/>
      <c r="Z983" s="187"/>
      <c r="AA983" s="187"/>
    </row>
    <row r="984" spans="1:27" s="186" customFormat="1" ht="15" customHeight="1">
      <c r="A984" s="215"/>
      <c r="B984" s="194"/>
      <c r="C984" s="200"/>
      <c r="D984" s="195"/>
      <c r="E984" s="195"/>
      <c r="F984" s="195"/>
      <c r="G984" s="195"/>
      <c r="H984" s="195"/>
      <c r="I984" s="195"/>
      <c r="J984" s="196"/>
      <c r="K984" s="196"/>
      <c r="L984" s="196"/>
      <c r="M984" s="195"/>
      <c r="N984" s="195"/>
      <c r="O984" s="195"/>
      <c r="P984" s="195"/>
      <c r="Q984" s="195"/>
      <c r="R984" s="195"/>
      <c r="S984" s="195"/>
      <c r="T984" s="195"/>
      <c r="U984" s="195"/>
      <c r="V984" s="197"/>
      <c r="W984" s="185"/>
      <c r="X984" s="141"/>
      <c r="Z984" s="187"/>
      <c r="AA984" s="187"/>
    </row>
    <row r="985" spans="1:27" s="186" customFormat="1" ht="15" customHeight="1">
      <c r="A985" s="215"/>
      <c r="B985" s="194"/>
      <c r="C985" s="200"/>
      <c r="D985" s="195"/>
      <c r="E985" s="195"/>
      <c r="F985" s="195"/>
      <c r="G985" s="195"/>
      <c r="H985" s="195"/>
      <c r="I985" s="195"/>
      <c r="J985" s="196"/>
      <c r="K985" s="196"/>
      <c r="L985" s="144"/>
      <c r="M985" s="195"/>
      <c r="N985" s="195"/>
      <c r="O985" s="195"/>
      <c r="P985" s="195"/>
      <c r="Q985" s="195"/>
      <c r="R985" s="195"/>
      <c r="S985" s="195"/>
      <c r="T985" s="195"/>
      <c r="U985" s="195"/>
      <c r="V985" s="197"/>
      <c r="W985" s="185"/>
      <c r="X985" s="141"/>
      <c r="Z985" s="187"/>
      <c r="AA985" s="187"/>
    </row>
    <row r="986" spans="1:27" s="186" customFormat="1" ht="15" customHeight="1" thickBot="1">
      <c r="A986" s="215"/>
      <c r="B986" s="194"/>
      <c r="C986" s="297" t="s">
        <v>989</v>
      </c>
      <c r="D986" s="316" t="s">
        <v>1017</v>
      </c>
      <c r="E986" s="315" t="s">
        <v>1018</v>
      </c>
      <c r="F986" s="315" t="s">
        <v>1019</v>
      </c>
      <c r="G986" s="324" t="s">
        <v>1021</v>
      </c>
      <c r="H986" s="324" t="s">
        <v>7</v>
      </c>
      <c r="I986" s="324" t="s">
        <v>15</v>
      </c>
      <c r="J986" s="324" t="s">
        <v>539</v>
      </c>
      <c r="K986" s="324" t="s">
        <v>540</v>
      </c>
      <c r="L986" s="315" t="s">
        <v>1020</v>
      </c>
      <c r="M986" s="172"/>
      <c r="N986" s="195" t="s">
        <v>57</v>
      </c>
      <c r="O986" s="241"/>
      <c r="P986" s="195" t="s">
        <v>54</v>
      </c>
      <c r="Q986" s="241"/>
      <c r="R986" s="195" t="s">
        <v>55</v>
      </c>
      <c r="S986" s="241" t="s">
        <v>1022</v>
      </c>
      <c r="T986" s="195" t="s">
        <v>57</v>
      </c>
      <c r="U986" s="195" t="s">
        <v>54</v>
      </c>
      <c r="V986" s="197" t="s">
        <v>55</v>
      </c>
      <c r="W986" s="185"/>
      <c r="X986" s="141"/>
      <c r="Z986" s="187"/>
      <c r="AA986" s="187"/>
    </row>
    <row r="987" spans="1:27" s="186" customFormat="1" ht="15" customHeight="1">
      <c r="A987" s="215"/>
      <c r="B987" s="168" t="s">
        <v>1024</v>
      </c>
      <c r="C987" s="297">
        <f>C975</f>
        <v>0</v>
      </c>
      <c r="D987" s="323">
        <f>(C987-(SIN(RADIANS(M982))*N975)-(COS(RADIANS(M982))*O975))*PI()/MEDIAN(U975:V979,P975:Q979)</f>
        <v>-4.7123889803846897</v>
      </c>
      <c r="E987" s="323" t="e">
        <f>(C987*PI()-N987*(G987+C978))/PI()</f>
        <v>#N/A</v>
      </c>
      <c r="F987" s="323" t="e">
        <f>E987-2*O975*COS(RADIANS(M982))</f>
        <v>#N/A</v>
      </c>
      <c r="G987" s="325" t="e">
        <f>ROUND(VLOOKUP(M987,R975:V979,4,FALSE),)</f>
        <v>#N/A</v>
      </c>
      <c r="H987" s="325" t="e">
        <f>ROUND(VLOOKUP(O987,M975:Q979,4,FALSE),)</f>
        <v>#N/A</v>
      </c>
      <c r="I987" s="325" t="e">
        <f>ROUND(VLOOKUP(O987,M975:Q979,5,FALSE),)</f>
        <v>#N/A</v>
      </c>
      <c r="J987" s="325" t="e">
        <f>ROUND(VLOOKUP(Q987,M975:Q979,4,FALSE),)</f>
        <v>#N/A</v>
      </c>
      <c r="K987" s="325" t="e">
        <f>ROUND(VLOOKUP(Q987,M975:Q979,5,FALSE),)</f>
        <v>#N/A</v>
      </c>
      <c r="L987" s="620">
        <f t="shared" ref="L987:L1036" si="143">D987/3</f>
        <v>-1.5707963267948966</v>
      </c>
      <c r="M987" s="288"/>
      <c r="N987" s="621" t="e">
        <f>ROUND(HLOOKUP(M987,N981:R982,2,FALSE),)</f>
        <v>#N/A</v>
      </c>
      <c r="O987" s="288"/>
      <c r="P987" s="622" t="e">
        <f>PI()*(F987*(J987+C978)-E987*(K987+C978))/(((J987+C978)*(I987+C978))-((H987+C978)*(K987+C978)))</f>
        <v>#N/A</v>
      </c>
      <c r="Q987" s="288"/>
      <c r="R987" s="622" t="e">
        <f>(E987*PI()-P987*(H987+C978))/(J987+C978)</f>
        <v>#N/A</v>
      </c>
      <c r="S987" s="624">
        <v>360</v>
      </c>
      <c r="T987" s="236" t="e">
        <f t="shared" ref="T987:T1036" si="144">ROUND(N987/360*S987,)</f>
        <v>#N/A</v>
      </c>
      <c r="U987" s="195" t="e">
        <f t="shared" ref="U987:U1036" si="145">ROUND(P987/360*S987,)</f>
        <v>#N/A</v>
      </c>
      <c r="V987" s="195" t="e">
        <f t="shared" ref="V987:V1036" si="146">ROUND(R987/360*S987,)</f>
        <v>#N/A</v>
      </c>
      <c r="W987" s="185"/>
      <c r="X987" s="141"/>
      <c r="Z987" s="187"/>
      <c r="AA987" s="187"/>
    </row>
    <row r="988" spans="1:27" s="186" customFormat="1" ht="15" customHeight="1">
      <c r="A988" s="215"/>
      <c r="B988" s="168" t="s">
        <v>1025</v>
      </c>
      <c r="C988" s="298">
        <f>C987+2*SIN(RADIANS(M982))*(N975+C978)</f>
        <v>0</v>
      </c>
      <c r="D988" s="323">
        <f>(C988-(SIN(RADIANS(M982))*N975)-(COS(RADIANS(M982))*O975))*PI()/MEDIAN(U975:V979,P975:Q979)</f>
        <v>-4.7123889803846897</v>
      </c>
      <c r="E988" s="323" t="e">
        <f>(C988*PI()-N988*(G988+C978))/PI()</f>
        <v>#N/A</v>
      </c>
      <c r="F988" s="323" t="e">
        <f>E988-2*O975*COS(RADIANS(M982))</f>
        <v>#N/A</v>
      </c>
      <c r="G988" s="325" t="e">
        <f>ROUND(VLOOKUP(M988,R975:V979,4,FALSE),)</f>
        <v>#N/A</v>
      </c>
      <c r="H988" s="325" t="e">
        <f>ROUND(VLOOKUP(O988,M975:Q979,4,FALSE),)</f>
        <v>#N/A</v>
      </c>
      <c r="I988" s="325" t="e">
        <f>ROUND(VLOOKUP(O988,M975:Q979,5,FALSE),)</f>
        <v>#N/A</v>
      </c>
      <c r="J988" s="325" t="e">
        <f>ROUND(VLOOKUP(Q988,M975:Q979,4,FALSE),)</f>
        <v>#N/A</v>
      </c>
      <c r="K988" s="325" t="e">
        <f>ROUND(VLOOKUP(Q988,M975:Q979,5,FALSE),)</f>
        <v>#N/A</v>
      </c>
      <c r="L988" s="620">
        <f t="shared" si="143"/>
        <v>-1.5707963267948966</v>
      </c>
      <c r="M988" s="623">
        <f t="shared" ref="M988:M1036" si="147">M987</f>
        <v>0</v>
      </c>
      <c r="N988" s="621" t="e">
        <f>ROUND(HLOOKUP(M988,N981:R982,2,FALSE),)</f>
        <v>#N/A</v>
      </c>
      <c r="O988" s="623">
        <f t="shared" ref="O988:O1036" si="148">O987</f>
        <v>0</v>
      </c>
      <c r="P988" s="622" t="e">
        <f>PI()*(F988*(J988+C978)-E988*(K988+C978))/(((J988+C978)*(I988+C978))-((H988+C978)*(K988+C978)))</f>
        <v>#N/A</v>
      </c>
      <c r="Q988" s="623">
        <f t="shared" ref="Q988:Q1036" si="149">Q987</f>
        <v>0</v>
      </c>
      <c r="R988" s="622" t="e">
        <f>(E988*PI()-P988*(H988+C978))/(J988+C978)</f>
        <v>#N/A</v>
      </c>
      <c r="S988" s="625">
        <f>S987</f>
        <v>360</v>
      </c>
      <c r="T988" s="236" t="e">
        <f t="shared" si="144"/>
        <v>#N/A</v>
      </c>
      <c r="U988" s="195" t="e">
        <f t="shared" si="145"/>
        <v>#N/A</v>
      </c>
      <c r="V988" s="195" t="e">
        <f t="shared" si="146"/>
        <v>#N/A</v>
      </c>
      <c r="W988" s="185"/>
      <c r="X988" s="141"/>
      <c r="Z988" s="187"/>
      <c r="AA988" s="187"/>
    </row>
    <row r="989" spans="1:27" s="186" customFormat="1" ht="15" customHeight="1">
      <c r="A989" s="215"/>
      <c r="B989" s="168" t="s">
        <v>1026</v>
      </c>
      <c r="C989" s="298">
        <f>C988+2*SIN(RADIANS(M982))*(N975+C978)</f>
        <v>0</v>
      </c>
      <c r="D989" s="323">
        <f>(C989-(SIN(RADIANS(M982))*N975)-(COS(RADIANS(M982))*O975))*PI()/MEDIAN(U975:V979,P975:Q979)</f>
        <v>-4.7123889803846897</v>
      </c>
      <c r="E989" s="323" t="e">
        <f>(C989*PI()-N989*(G989+C978))/PI()</f>
        <v>#N/A</v>
      </c>
      <c r="F989" s="323" t="e">
        <f>E989-2*O975*COS(RADIANS(M982))</f>
        <v>#N/A</v>
      </c>
      <c r="G989" s="325" t="e">
        <f>ROUND(VLOOKUP(M989,R975:V979,4,FALSE),)</f>
        <v>#N/A</v>
      </c>
      <c r="H989" s="325" t="e">
        <f>ROUND(VLOOKUP(O989,M975:Q979,4,FALSE),)</f>
        <v>#N/A</v>
      </c>
      <c r="I989" s="325" t="e">
        <f>ROUND(VLOOKUP(O989,M975:Q979,5,FALSE),)</f>
        <v>#N/A</v>
      </c>
      <c r="J989" s="325" t="e">
        <f>ROUND(VLOOKUP(Q989,M975:Q979,4,FALSE),)</f>
        <v>#N/A</v>
      </c>
      <c r="K989" s="325" t="e">
        <f>ROUND(VLOOKUP(Q989,M975:Q979,5,FALSE),)</f>
        <v>#N/A</v>
      </c>
      <c r="L989" s="620">
        <f t="shared" si="143"/>
        <v>-1.5707963267948966</v>
      </c>
      <c r="M989" s="623">
        <f t="shared" si="147"/>
        <v>0</v>
      </c>
      <c r="N989" s="621" t="e">
        <f>ROUND(HLOOKUP(M989,N981:R982,2,FALSE),)</f>
        <v>#N/A</v>
      </c>
      <c r="O989" s="623">
        <f t="shared" si="148"/>
        <v>0</v>
      </c>
      <c r="P989" s="622" t="e">
        <f>PI()*(F989*(J989+C978)-E989*(K989+C978))/(((J989+C978)*(I989+C978))-((H989+C978)*(K989+C978)))</f>
        <v>#N/A</v>
      </c>
      <c r="Q989" s="623">
        <f t="shared" si="149"/>
        <v>0</v>
      </c>
      <c r="R989" s="622" t="e">
        <f>(E989*PI()-P989*(H989+C978))/(J989+C978)</f>
        <v>#N/A</v>
      </c>
      <c r="S989" s="625">
        <f t="shared" ref="S989:S1036" si="150">S988</f>
        <v>360</v>
      </c>
      <c r="T989" s="236" t="e">
        <f t="shared" si="144"/>
        <v>#N/A</v>
      </c>
      <c r="U989" s="195" t="e">
        <f t="shared" si="145"/>
        <v>#N/A</v>
      </c>
      <c r="V989" s="195" t="e">
        <f t="shared" si="146"/>
        <v>#N/A</v>
      </c>
      <c r="W989" s="185"/>
      <c r="X989" s="141"/>
      <c r="Z989" s="187"/>
      <c r="AA989" s="187"/>
    </row>
    <row r="990" spans="1:27" s="186" customFormat="1" ht="15" customHeight="1">
      <c r="A990" s="215"/>
      <c r="B990" s="168" t="s">
        <v>1027</v>
      </c>
      <c r="C990" s="298">
        <f>C989+2*SIN(RADIANS(M982))*(N975+C978)</f>
        <v>0</v>
      </c>
      <c r="D990" s="323">
        <f>(C990-(SIN(RADIANS(M982))*N975)-(COS(RADIANS(M982))*O975))*PI()/MEDIAN(U975:V979,P975:Q979)</f>
        <v>-4.7123889803846897</v>
      </c>
      <c r="E990" s="323" t="e">
        <f>(C990*PI()-N990*(G990+C978))/PI()</f>
        <v>#N/A</v>
      </c>
      <c r="F990" s="323" t="e">
        <f>E990-2*O975*COS(RADIANS(M982))</f>
        <v>#N/A</v>
      </c>
      <c r="G990" s="325" t="e">
        <f>ROUND(VLOOKUP(M990,R975:V979,4,FALSE),)</f>
        <v>#N/A</v>
      </c>
      <c r="H990" s="325" t="e">
        <f>ROUND(VLOOKUP(O990,M975:Q979,4,FALSE),)</f>
        <v>#N/A</v>
      </c>
      <c r="I990" s="325" t="e">
        <f>ROUND(VLOOKUP(O990,M975:Q979,5,FALSE),)</f>
        <v>#N/A</v>
      </c>
      <c r="J990" s="325" t="e">
        <f>ROUND(VLOOKUP(Q990,M975:Q979,4,FALSE),)</f>
        <v>#N/A</v>
      </c>
      <c r="K990" s="325" t="e">
        <f>ROUND(VLOOKUP(Q990,M975:Q979,5,FALSE),)</f>
        <v>#N/A</v>
      </c>
      <c r="L990" s="620">
        <f t="shared" si="143"/>
        <v>-1.5707963267948966</v>
      </c>
      <c r="M990" s="623">
        <f t="shared" si="147"/>
        <v>0</v>
      </c>
      <c r="N990" s="621" t="e">
        <f>ROUND(HLOOKUP(M990,N981:R982,2,FALSE),)</f>
        <v>#N/A</v>
      </c>
      <c r="O990" s="623">
        <f t="shared" si="148"/>
        <v>0</v>
      </c>
      <c r="P990" s="622" t="e">
        <f>PI()*(F990*(J990+C978)-E990*(K990+C978))/(((J990+C978)*(I990+C978))-((H990+C978)*(K990+C978)))</f>
        <v>#N/A</v>
      </c>
      <c r="Q990" s="623">
        <f t="shared" si="149"/>
        <v>0</v>
      </c>
      <c r="R990" s="622" t="e">
        <f>(E990*PI()-P990*(H990+C978))/(J990+C978)</f>
        <v>#N/A</v>
      </c>
      <c r="S990" s="625">
        <f t="shared" si="150"/>
        <v>360</v>
      </c>
      <c r="T990" s="236" t="e">
        <f t="shared" si="144"/>
        <v>#N/A</v>
      </c>
      <c r="U990" s="195" t="e">
        <f t="shared" si="145"/>
        <v>#N/A</v>
      </c>
      <c r="V990" s="195" t="e">
        <f t="shared" si="146"/>
        <v>#N/A</v>
      </c>
      <c r="W990" s="185"/>
      <c r="X990" s="141"/>
      <c r="Z990" s="187"/>
      <c r="AA990" s="187"/>
    </row>
    <row r="991" spans="1:27" s="186" customFormat="1" ht="15" customHeight="1">
      <c r="A991" s="215"/>
      <c r="B991" s="168" t="s">
        <v>1028</v>
      </c>
      <c r="C991" s="298">
        <f>C990+2*SIN(RADIANS(M982))*(N975+C978)</f>
        <v>0</v>
      </c>
      <c r="D991" s="323">
        <f>(C991-(SIN(RADIANS(M982))*N975)-(COS(RADIANS(M982))*O975))*PI()/MEDIAN(U975:V979,P975:Q979)</f>
        <v>-4.7123889803846897</v>
      </c>
      <c r="E991" s="323" t="e">
        <f>(C991*PI()-N991*(G991+C978))/PI()</f>
        <v>#N/A</v>
      </c>
      <c r="F991" s="323" t="e">
        <f>E991-2*O975*COS(RADIANS(M982))</f>
        <v>#N/A</v>
      </c>
      <c r="G991" s="325" t="e">
        <f>ROUND(VLOOKUP(M991,R975:V979,4,FALSE),)</f>
        <v>#N/A</v>
      </c>
      <c r="H991" s="325" t="e">
        <f>ROUND(VLOOKUP(O991,M975:Q979,4,FALSE),)</f>
        <v>#N/A</v>
      </c>
      <c r="I991" s="325" t="e">
        <f>ROUND(VLOOKUP(O991,M975:Q979,5,FALSE),)</f>
        <v>#N/A</v>
      </c>
      <c r="J991" s="325" t="e">
        <f>ROUND(VLOOKUP(Q991,M975:Q979,4,FALSE),)</f>
        <v>#N/A</v>
      </c>
      <c r="K991" s="325" t="e">
        <f>ROUND(VLOOKUP(Q991,M975:Q979,5,FALSE),)</f>
        <v>#N/A</v>
      </c>
      <c r="L991" s="620">
        <f t="shared" si="143"/>
        <v>-1.5707963267948966</v>
      </c>
      <c r="M991" s="623">
        <f t="shared" si="147"/>
        <v>0</v>
      </c>
      <c r="N991" s="621" t="e">
        <f>ROUND(HLOOKUP(M991,N981:R982,2,FALSE),)</f>
        <v>#N/A</v>
      </c>
      <c r="O991" s="623">
        <f t="shared" si="148"/>
        <v>0</v>
      </c>
      <c r="P991" s="622" t="e">
        <f>PI()*(F991*(J991+C978)-E991*(K991+C978))/(((J991+C978)*(I991+C978))-((H991+C978)*(K991+C978)))</f>
        <v>#N/A</v>
      </c>
      <c r="Q991" s="623">
        <f t="shared" si="149"/>
        <v>0</v>
      </c>
      <c r="R991" s="622" t="e">
        <f>(E991*PI()-P991*(H991+C978))/(J991+C978)</f>
        <v>#N/A</v>
      </c>
      <c r="S991" s="625">
        <f t="shared" si="150"/>
        <v>360</v>
      </c>
      <c r="T991" s="236" t="e">
        <f t="shared" si="144"/>
        <v>#N/A</v>
      </c>
      <c r="U991" s="195" t="e">
        <f t="shared" si="145"/>
        <v>#N/A</v>
      </c>
      <c r="V991" s="195" t="e">
        <f t="shared" si="146"/>
        <v>#N/A</v>
      </c>
      <c r="W991" s="185"/>
      <c r="X991" s="141"/>
      <c r="Z991" s="187"/>
      <c r="AA991" s="187"/>
    </row>
    <row r="992" spans="1:27" s="186" customFormat="1" ht="15" customHeight="1">
      <c r="A992" s="215"/>
      <c r="B992" s="168" t="s">
        <v>1029</v>
      </c>
      <c r="C992" s="298">
        <f>C991+2*SIN(RADIANS(M982))*(N975+C978)</f>
        <v>0</v>
      </c>
      <c r="D992" s="323">
        <f>(C992-(SIN(RADIANS(M982))*N975)-(COS(RADIANS(M982))*O975))*PI()/MEDIAN(U975:V979,P975:Q979)</f>
        <v>-4.7123889803846897</v>
      </c>
      <c r="E992" s="323" t="e">
        <f>(C992*PI()-N992*(G992+C978))/PI()</f>
        <v>#N/A</v>
      </c>
      <c r="F992" s="323" t="e">
        <f>E992-2*O975*COS(RADIANS(M982))</f>
        <v>#N/A</v>
      </c>
      <c r="G992" s="325" t="e">
        <f>ROUND(VLOOKUP(M992,R975:V979,4,FALSE),)</f>
        <v>#N/A</v>
      </c>
      <c r="H992" s="325" t="e">
        <f>ROUND(VLOOKUP(O992,M975:Q979,4,FALSE),)</f>
        <v>#N/A</v>
      </c>
      <c r="I992" s="325" t="e">
        <f>ROUND(VLOOKUP(O992,M975:Q979,5,FALSE),)</f>
        <v>#N/A</v>
      </c>
      <c r="J992" s="325" t="e">
        <f>ROUND(VLOOKUP(Q992,M975:Q979,4,FALSE),)</f>
        <v>#N/A</v>
      </c>
      <c r="K992" s="325" t="e">
        <f>ROUND(VLOOKUP(Q992,M975:Q979,5,FALSE),)</f>
        <v>#N/A</v>
      </c>
      <c r="L992" s="620">
        <f t="shared" si="143"/>
        <v>-1.5707963267948966</v>
      </c>
      <c r="M992" s="623">
        <f>M991</f>
        <v>0</v>
      </c>
      <c r="N992" s="621" t="e">
        <f>ROUND(HLOOKUP(M992,N981:R982,2,FALSE),)</f>
        <v>#N/A</v>
      </c>
      <c r="O992" s="623">
        <f>O991</f>
        <v>0</v>
      </c>
      <c r="P992" s="622" t="e">
        <f>PI()*(F992*(J992+C978)-E992*(K992+C978))/(((J992+C978)*(I992+C978))-((H992+C978)*(K992+C978)))</f>
        <v>#N/A</v>
      </c>
      <c r="Q992" s="623">
        <f>Q991</f>
        <v>0</v>
      </c>
      <c r="R992" s="622" t="e">
        <f>(E992*PI()-P992*(H992+C978))/(J992+C978)</f>
        <v>#N/A</v>
      </c>
      <c r="S992" s="625">
        <f t="shared" si="150"/>
        <v>360</v>
      </c>
      <c r="T992" s="236" t="e">
        <f t="shared" si="144"/>
        <v>#N/A</v>
      </c>
      <c r="U992" s="195" t="e">
        <f t="shared" si="145"/>
        <v>#N/A</v>
      </c>
      <c r="V992" s="195" t="e">
        <f t="shared" si="146"/>
        <v>#N/A</v>
      </c>
      <c r="W992" s="185"/>
      <c r="X992" s="141"/>
      <c r="Z992" s="187"/>
      <c r="AA992" s="187"/>
    </row>
    <row r="993" spans="1:27" s="186" customFormat="1" ht="15" customHeight="1">
      <c r="A993" s="215"/>
      <c r="B993" s="168" t="s">
        <v>1030</v>
      </c>
      <c r="C993" s="298">
        <f>C992+2*SIN(RADIANS(M982))*(N975+C978)</f>
        <v>0</v>
      </c>
      <c r="D993" s="323">
        <f>(C993-(SIN(RADIANS(M982))*N975)-(COS(RADIANS(M982))*O975))*PI()/MEDIAN(U975:V979,P975:Q979)</f>
        <v>-4.7123889803846897</v>
      </c>
      <c r="E993" s="323" t="e">
        <f>(C993*PI()-N993*(G993+C978))/PI()</f>
        <v>#N/A</v>
      </c>
      <c r="F993" s="323" t="e">
        <f>E993-2*O975*COS(RADIANS(M982))</f>
        <v>#N/A</v>
      </c>
      <c r="G993" s="325" t="e">
        <f>ROUND(VLOOKUP(M993,R975:V979,4,FALSE),)</f>
        <v>#N/A</v>
      </c>
      <c r="H993" s="325" t="e">
        <f>ROUND(VLOOKUP(O993,M975:Q979,4,FALSE),)</f>
        <v>#N/A</v>
      </c>
      <c r="I993" s="325" t="e">
        <f>ROUND(VLOOKUP(O993,M975:Q979,5,FALSE),)</f>
        <v>#N/A</v>
      </c>
      <c r="J993" s="325" t="e">
        <f>ROUND(VLOOKUP(Q993,M975:Q979,4,FALSE),)</f>
        <v>#N/A</v>
      </c>
      <c r="K993" s="325" t="e">
        <f>ROUND(VLOOKUP(Q993,M975:Q979,5,FALSE),)</f>
        <v>#N/A</v>
      </c>
      <c r="L993" s="620">
        <f t="shared" si="143"/>
        <v>-1.5707963267948966</v>
      </c>
      <c r="M993" s="623">
        <f t="shared" si="147"/>
        <v>0</v>
      </c>
      <c r="N993" s="621" t="e">
        <f>ROUND(HLOOKUP(M993,N981:R982,2,FALSE),)</f>
        <v>#N/A</v>
      </c>
      <c r="O993" s="623">
        <f t="shared" si="148"/>
        <v>0</v>
      </c>
      <c r="P993" s="622" t="e">
        <f>PI()*(F993*(J993+C978)-E993*(K993+C978))/(((J993+C978)*(I993+C978))-((H993+C978)*(K993+C978)))</f>
        <v>#N/A</v>
      </c>
      <c r="Q993" s="623">
        <f t="shared" si="149"/>
        <v>0</v>
      </c>
      <c r="R993" s="622" t="e">
        <f>(E993*PI()-P993*(H993+C978))/(J993+C978)</f>
        <v>#N/A</v>
      </c>
      <c r="S993" s="625">
        <f t="shared" si="150"/>
        <v>360</v>
      </c>
      <c r="T993" s="236" t="e">
        <f t="shared" si="144"/>
        <v>#N/A</v>
      </c>
      <c r="U993" s="195" t="e">
        <f t="shared" si="145"/>
        <v>#N/A</v>
      </c>
      <c r="V993" s="195" t="e">
        <f t="shared" si="146"/>
        <v>#N/A</v>
      </c>
      <c r="W993" s="185"/>
      <c r="X993" s="141"/>
      <c r="Z993" s="187"/>
      <c r="AA993" s="187"/>
    </row>
    <row r="994" spans="1:27" s="186" customFormat="1" ht="15" customHeight="1">
      <c r="A994" s="215"/>
      <c r="B994" s="168" t="s">
        <v>1031</v>
      </c>
      <c r="C994" s="298">
        <f>C993+2*SIN(RADIANS(M982))*(N975+C978)</f>
        <v>0</v>
      </c>
      <c r="D994" s="323">
        <f>(C994-(SIN(RADIANS(M982))*N975)-(COS(RADIANS(M982))*O975))*PI()/MEDIAN(U975:V979,P975:Q979)</f>
        <v>-4.7123889803846897</v>
      </c>
      <c r="E994" s="323" t="e">
        <f>(C994*PI()-N994*(G994+C978))/PI()</f>
        <v>#N/A</v>
      </c>
      <c r="F994" s="323" t="e">
        <f>E994-2*O975*COS(RADIANS(M982))</f>
        <v>#N/A</v>
      </c>
      <c r="G994" s="325" t="e">
        <f>ROUND(VLOOKUP(M994,R975:V979,4,FALSE),)</f>
        <v>#N/A</v>
      </c>
      <c r="H994" s="325" t="e">
        <f>ROUND(VLOOKUP(O994,M975:Q979,4,FALSE),)</f>
        <v>#N/A</v>
      </c>
      <c r="I994" s="325" t="e">
        <f>ROUND(VLOOKUP(O994,M975:Q979,5,FALSE),)</f>
        <v>#N/A</v>
      </c>
      <c r="J994" s="325" t="e">
        <f>ROUND(VLOOKUP(Q994,M975:Q979,4,FALSE),)</f>
        <v>#N/A</v>
      </c>
      <c r="K994" s="325" t="e">
        <f>ROUND(VLOOKUP(Q994,M975:Q979,5,FALSE),)</f>
        <v>#N/A</v>
      </c>
      <c r="L994" s="620">
        <f t="shared" si="143"/>
        <v>-1.5707963267948966</v>
      </c>
      <c r="M994" s="623">
        <f t="shared" si="147"/>
        <v>0</v>
      </c>
      <c r="N994" s="621" t="e">
        <f>ROUND(HLOOKUP(M994,N981:R982,2,FALSE),)</f>
        <v>#N/A</v>
      </c>
      <c r="O994" s="623">
        <f t="shared" si="148"/>
        <v>0</v>
      </c>
      <c r="P994" s="622" t="e">
        <f>PI()*(F994*(J994+C978)-E994*(K994+C978))/(((J994+C978)*(I994+C978))-((H994+C978)*(K994+C978)))</f>
        <v>#N/A</v>
      </c>
      <c r="Q994" s="623">
        <f t="shared" si="149"/>
        <v>0</v>
      </c>
      <c r="R994" s="622" t="e">
        <f>(E994*PI()-P994*(H994+C978))/(J994+C978)</f>
        <v>#N/A</v>
      </c>
      <c r="S994" s="625">
        <f t="shared" si="150"/>
        <v>360</v>
      </c>
      <c r="T994" s="236" t="e">
        <f t="shared" si="144"/>
        <v>#N/A</v>
      </c>
      <c r="U994" s="195" t="e">
        <f t="shared" si="145"/>
        <v>#N/A</v>
      </c>
      <c r="V994" s="195" t="e">
        <f t="shared" si="146"/>
        <v>#N/A</v>
      </c>
      <c r="W994" s="185"/>
      <c r="X994" s="141"/>
      <c r="Z994" s="187"/>
      <c r="AA994" s="187"/>
    </row>
    <row r="995" spans="1:27" s="186" customFormat="1" ht="15" customHeight="1">
      <c r="A995" s="215"/>
      <c r="B995" s="168" t="s">
        <v>1032</v>
      </c>
      <c r="C995" s="298">
        <f>C994+2*SIN(RADIANS(M982))*(N975+C978)</f>
        <v>0</v>
      </c>
      <c r="D995" s="323">
        <f>(C995-(SIN(RADIANS(M982))*N975)-(COS(RADIANS(M982))*O975))*PI()/MEDIAN(U975:V979,P975:Q979)</f>
        <v>-4.7123889803846897</v>
      </c>
      <c r="E995" s="323" t="e">
        <f>(C995*PI()-N995*(G995+C978))/PI()</f>
        <v>#N/A</v>
      </c>
      <c r="F995" s="323" t="e">
        <f>E995-2*O975*COS(RADIANS(M982))</f>
        <v>#N/A</v>
      </c>
      <c r="G995" s="325" t="e">
        <f>ROUND(VLOOKUP(M995,R975:V979,4,FALSE),)</f>
        <v>#N/A</v>
      </c>
      <c r="H995" s="325" t="e">
        <f>ROUND(VLOOKUP(O995,M975:Q979,4,FALSE),)</f>
        <v>#N/A</v>
      </c>
      <c r="I995" s="325" t="e">
        <f>ROUND(VLOOKUP(O995,M975:Q979,5,FALSE),)</f>
        <v>#N/A</v>
      </c>
      <c r="J995" s="325" t="e">
        <f>ROUND(VLOOKUP(Q995,M975:Q979,4,FALSE),)</f>
        <v>#N/A</v>
      </c>
      <c r="K995" s="325" t="e">
        <f>ROUND(VLOOKUP(Q995,M975:Q979,5,FALSE),)</f>
        <v>#N/A</v>
      </c>
      <c r="L995" s="620">
        <f t="shared" si="143"/>
        <v>-1.5707963267948966</v>
      </c>
      <c r="M995" s="623">
        <f t="shared" si="147"/>
        <v>0</v>
      </c>
      <c r="N995" s="621" t="e">
        <f>ROUND(HLOOKUP(M995,N981:R982,2,FALSE),)</f>
        <v>#N/A</v>
      </c>
      <c r="O995" s="623">
        <f t="shared" si="148"/>
        <v>0</v>
      </c>
      <c r="P995" s="622" t="e">
        <f>PI()*(F995*(J995+C978)-E995*(K995+C978))/(((J995+C978)*(I995+C978))-((H995+C978)*(K995+C978)))</f>
        <v>#N/A</v>
      </c>
      <c r="Q995" s="623">
        <f t="shared" si="149"/>
        <v>0</v>
      </c>
      <c r="R995" s="622" t="e">
        <f>(E995*PI()-P995*(H995+C978))/(J995+C978)</f>
        <v>#N/A</v>
      </c>
      <c r="S995" s="625">
        <f t="shared" si="150"/>
        <v>360</v>
      </c>
      <c r="T995" s="236" t="e">
        <f t="shared" si="144"/>
        <v>#N/A</v>
      </c>
      <c r="U995" s="195" t="e">
        <f t="shared" si="145"/>
        <v>#N/A</v>
      </c>
      <c r="V995" s="195" t="e">
        <f t="shared" si="146"/>
        <v>#N/A</v>
      </c>
      <c r="W995" s="185"/>
      <c r="X995" s="141"/>
      <c r="Z995" s="187"/>
      <c r="AA995" s="187"/>
    </row>
    <row r="996" spans="1:27" s="186" customFormat="1" ht="15" customHeight="1">
      <c r="A996" s="215"/>
      <c r="B996" s="168" t="s">
        <v>1033</v>
      </c>
      <c r="C996" s="298">
        <f>C995+2*SIN(RADIANS(M982))*(N975+C978)</f>
        <v>0</v>
      </c>
      <c r="D996" s="323">
        <f>(C996-(SIN(RADIANS(M982))*N975)-(COS(RADIANS(M982))*O975))*PI()/MEDIAN(U975:V979,P975:Q979)</f>
        <v>-4.7123889803846897</v>
      </c>
      <c r="E996" s="323" t="e">
        <f>(C996*PI()-N996*(G996+C978))/PI()</f>
        <v>#N/A</v>
      </c>
      <c r="F996" s="323" t="e">
        <f>E996-2*O975*COS(RADIANS(M982))</f>
        <v>#N/A</v>
      </c>
      <c r="G996" s="325" t="e">
        <f>ROUND(VLOOKUP(M996,R975:V979,4,FALSE),)</f>
        <v>#N/A</v>
      </c>
      <c r="H996" s="325" t="e">
        <f>ROUND(VLOOKUP(O996,M975:Q979,4,FALSE),)</f>
        <v>#N/A</v>
      </c>
      <c r="I996" s="325" t="e">
        <f>ROUND(VLOOKUP(O996,M975:Q979,5,FALSE),)</f>
        <v>#N/A</v>
      </c>
      <c r="J996" s="325" t="e">
        <f>ROUND(VLOOKUP(Q996,M975:Q979,4,FALSE),)</f>
        <v>#N/A</v>
      </c>
      <c r="K996" s="325" t="e">
        <f>ROUND(VLOOKUP(Q996,M975:Q979,5,FALSE),)</f>
        <v>#N/A</v>
      </c>
      <c r="L996" s="620">
        <f t="shared" si="143"/>
        <v>-1.5707963267948966</v>
      </c>
      <c r="M996" s="623">
        <f t="shared" si="147"/>
        <v>0</v>
      </c>
      <c r="N996" s="621" t="e">
        <f>ROUND(HLOOKUP(M996,N981:R982,2,FALSE),)</f>
        <v>#N/A</v>
      </c>
      <c r="O996" s="623">
        <f t="shared" si="148"/>
        <v>0</v>
      </c>
      <c r="P996" s="622" t="e">
        <f>PI()*(F996*(J996+C978)-E996*(K996+C978))/(((J996+C978)*(I996+C978))-((H996+C978)*(K996+C978)))</f>
        <v>#N/A</v>
      </c>
      <c r="Q996" s="623">
        <f t="shared" si="149"/>
        <v>0</v>
      </c>
      <c r="R996" s="622" t="e">
        <f>(E996*PI()-P996*(H996+C978))/(J996+C978)</f>
        <v>#N/A</v>
      </c>
      <c r="S996" s="625">
        <f t="shared" si="150"/>
        <v>360</v>
      </c>
      <c r="T996" s="236" t="e">
        <f t="shared" si="144"/>
        <v>#N/A</v>
      </c>
      <c r="U996" s="195" t="e">
        <f t="shared" si="145"/>
        <v>#N/A</v>
      </c>
      <c r="V996" s="195" t="e">
        <f t="shared" si="146"/>
        <v>#N/A</v>
      </c>
      <c r="W996" s="185"/>
      <c r="X996" s="141"/>
      <c r="Z996" s="187"/>
      <c r="AA996" s="187"/>
    </row>
    <row r="997" spans="1:27" s="186" customFormat="1" ht="15" customHeight="1">
      <c r="A997" s="215"/>
      <c r="B997" s="168" t="s">
        <v>1034</v>
      </c>
      <c r="C997" s="298">
        <f>C996+2*SIN(RADIANS(M982))*(N975+C978)</f>
        <v>0</v>
      </c>
      <c r="D997" s="323">
        <f>(C997-(SIN(RADIANS(M982))*N975)-(COS(RADIANS(M982))*O975))*PI()/MEDIAN(U975:V979,P975:Q979)</f>
        <v>-4.7123889803846897</v>
      </c>
      <c r="E997" s="323" t="e">
        <f>(C997*PI()-N997*(G997+C978))/PI()</f>
        <v>#N/A</v>
      </c>
      <c r="F997" s="323" t="e">
        <f>E997-2*O975*COS(RADIANS(M982))</f>
        <v>#N/A</v>
      </c>
      <c r="G997" s="325" t="e">
        <f>ROUND(VLOOKUP(M997,R975:V979,4,FALSE),)</f>
        <v>#N/A</v>
      </c>
      <c r="H997" s="325" t="e">
        <f>ROUND(VLOOKUP(O997,M975:Q979,4,FALSE),)</f>
        <v>#N/A</v>
      </c>
      <c r="I997" s="325" t="e">
        <f>ROUND(VLOOKUP(O997,M975:Q979,5,FALSE),)</f>
        <v>#N/A</v>
      </c>
      <c r="J997" s="325" t="e">
        <f>ROUND(VLOOKUP(Q997,M975:Q979,4,FALSE),)</f>
        <v>#N/A</v>
      </c>
      <c r="K997" s="325" t="e">
        <f>ROUND(VLOOKUP(Q997,M975:Q979,5,FALSE),)</f>
        <v>#N/A</v>
      </c>
      <c r="L997" s="620">
        <f t="shared" si="143"/>
        <v>-1.5707963267948966</v>
      </c>
      <c r="M997" s="623">
        <f t="shared" si="147"/>
        <v>0</v>
      </c>
      <c r="N997" s="621" t="e">
        <f>ROUND(HLOOKUP(M997,N981:R982,2,FALSE),)</f>
        <v>#N/A</v>
      </c>
      <c r="O997" s="623">
        <f t="shared" si="148"/>
        <v>0</v>
      </c>
      <c r="P997" s="622" t="e">
        <f>PI()*(F997*(J997+C978)-E997*(K997+C978))/(((J997+C978)*(I997+C978))-((H997+C978)*(K997+C978)))</f>
        <v>#N/A</v>
      </c>
      <c r="Q997" s="623">
        <f t="shared" si="149"/>
        <v>0</v>
      </c>
      <c r="R997" s="622" t="e">
        <f>(E997*PI()-P997*(H997+C978))/(J997+C978)</f>
        <v>#N/A</v>
      </c>
      <c r="S997" s="625">
        <f t="shared" si="150"/>
        <v>360</v>
      </c>
      <c r="T997" s="236" t="e">
        <f t="shared" si="144"/>
        <v>#N/A</v>
      </c>
      <c r="U997" s="195" t="e">
        <f t="shared" si="145"/>
        <v>#N/A</v>
      </c>
      <c r="V997" s="195" t="e">
        <f t="shared" si="146"/>
        <v>#N/A</v>
      </c>
      <c r="W997" s="185"/>
      <c r="X997" s="141"/>
      <c r="Z997" s="187"/>
      <c r="AA997" s="187"/>
    </row>
    <row r="998" spans="1:27" s="186" customFormat="1" ht="15" customHeight="1">
      <c r="A998" s="215"/>
      <c r="B998" s="168" t="s">
        <v>1035</v>
      </c>
      <c r="C998" s="298">
        <f>C997+2*SIN(RADIANS(M982))*(N975+C978)</f>
        <v>0</v>
      </c>
      <c r="D998" s="323">
        <f>(C998-(SIN(RADIANS(M982))*N975)-(COS(RADIANS(M982))*O975))*PI()/MEDIAN(U975:V979,P975:Q979)</f>
        <v>-4.7123889803846897</v>
      </c>
      <c r="E998" s="323" t="e">
        <f>(C998*PI()-N998*(G998+C978))/PI()</f>
        <v>#N/A</v>
      </c>
      <c r="F998" s="323" t="e">
        <f>E998-2*O975*COS(RADIANS(M982))</f>
        <v>#N/A</v>
      </c>
      <c r="G998" s="325" t="e">
        <f>ROUND(VLOOKUP(M998,R975:V979,4,FALSE),)</f>
        <v>#N/A</v>
      </c>
      <c r="H998" s="325" t="e">
        <f>ROUND(VLOOKUP(O998,M975:Q979,4,FALSE),)</f>
        <v>#N/A</v>
      </c>
      <c r="I998" s="325" t="e">
        <f>ROUND(VLOOKUP(O998,M975:Q979,5,FALSE),)</f>
        <v>#N/A</v>
      </c>
      <c r="J998" s="325" t="e">
        <f>ROUND(VLOOKUP(Q998,M975:Q979,4,FALSE),)</f>
        <v>#N/A</v>
      </c>
      <c r="K998" s="325" t="e">
        <f>ROUND(VLOOKUP(Q998,M975:Q979,5,FALSE),)</f>
        <v>#N/A</v>
      </c>
      <c r="L998" s="620">
        <f t="shared" si="143"/>
        <v>-1.5707963267948966</v>
      </c>
      <c r="M998" s="623">
        <f t="shared" si="147"/>
        <v>0</v>
      </c>
      <c r="N998" s="621" t="e">
        <f>ROUND(HLOOKUP(M998,N981:R982,2,FALSE),)</f>
        <v>#N/A</v>
      </c>
      <c r="O998" s="623">
        <f t="shared" si="148"/>
        <v>0</v>
      </c>
      <c r="P998" s="622" t="e">
        <f>PI()*(F998*(J998+C978)-E998*(K998+C978))/(((J998+C978)*(I998+C978))-((H998+C978)*(K998+C978)))</f>
        <v>#N/A</v>
      </c>
      <c r="Q998" s="623">
        <f t="shared" si="149"/>
        <v>0</v>
      </c>
      <c r="R998" s="622" t="e">
        <f>(E998*PI()-P998*(H998+C978))/(J998+C978)</f>
        <v>#N/A</v>
      </c>
      <c r="S998" s="625">
        <f t="shared" si="150"/>
        <v>360</v>
      </c>
      <c r="T998" s="236" t="e">
        <f t="shared" si="144"/>
        <v>#N/A</v>
      </c>
      <c r="U998" s="195" t="e">
        <f t="shared" si="145"/>
        <v>#N/A</v>
      </c>
      <c r="V998" s="195" t="e">
        <f t="shared" si="146"/>
        <v>#N/A</v>
      </c>
      <c r="W998" s="185"/>
      <c r="X998" s="141"/>
      <c r="Z998" s="187"/>
      <c r="AA998" s="187"/>
    </row>
    <row r="999" spans="1:27" s="186" customFormat="1" ht="15" customHeight="1">
      <c r="A999" s="215"/>
      <c r="B999" s="168" t="s">
        <v>1036</v>
      </c>
      <c r="C999" s="298">
        <f>C998+2*SIN(RADIANS(M982))*(N975+C978)</f>
        <v>0</v>
      </c>
      <c r="D999" s="323">
        <f>(C999-(SIN(RADIANS(M982))*N975)-(COS(RADIANS(M982))*O975))*PI()/MEDIAN(U975:V979,P975:Q979)</f>
        <v>-4.7123889803846897</v>
      </c>
      <c r="E999" s="323" t="e">
        <f>(C999*PI()-N999*(G999+C978))/PI()</f>
        <v>#N/A</v>
      </c>
      <c r="F999" s="323" t="e">
        <f>E999-2*O975*COS(RADIANS(M982))</f>
        <v>#N/A</v>
      </c>
      <c r="G999" s="325" t="e">
        <f>ROUND(VLOOKUP(M999,R975:V979,4,FALSE),)</f>
        <v>#N/A</v>
      </c>
      <c r="H999" s="325" t="e">
        <f>ROUND(VLOOKUP(O999,M975:Q979,4,FALSE),)</f>
        <v>#N/A</v>
      </c>
      <c r="I999" s="325" t="e">
        <f>ROUND(VLOOKUP(O999,M975:Q979,5,FALSE),)</f>
        <v>#N/A</v>
      </c>
      <c r="J999" s="325" t="e">
        <f>ROUND(VLOOKUP(Q999,M975:Q979,4,FALSE),)</f>
        <v>#N/A</v>
      </c>
      <c r="K999" s="325" t="e">
        <f>ROUND(VLOOKUP(Q999,M975:Q979,5,FALSE),)</f>
        <v>#N/A</v>
      </c>
      <c r="L999" s="620">
        <f t="shared" si="143"/>
        <v>-1.5707963267948966</v>
      </c>
      <c r="M999" s="623">
        <f t="shared" si="147"/>
        <v>0</v>
      </c>
      <c r="N999" s="621" t="e">
        <f>ROUND(HLOOKUP(M999,N981:R982,2,FALSE),)</f>
        <v>#N/A</v>
      </c>
      <c r="O999" s="623">
        <f t="shared" si="148"/>
        <v>0</v>
      </c>
      <c r="P999" s="622" t="e">
        <f>PI()*(F999*(J999+C978)-E999*(K999+C978))/(((J999+C978)*(I999+C978))-((H999+C978)*(K999+C978)))</f>
        <v>#N/A</v>
      </c>
      <c r="Q999" s="623">
        <f t="shared" si="149"/>
        <v>0</v>
      </c>
      <c r="R999" s="622" t="e">
        <f>(E999*PI()-P999*(H999+C978))/(J999+C978)</f>
        <v>#N/A</v>
      </c>
      <c r="S999" s="625">
        <f t="shared" si="150"/>
        <v>360</v>
      </c>
      <c r="T999" s="236" t="e">
        <f t="shared" si="144"/>
        <v>#N/A</v>
      </c>
      <c r="U999" s="195" t="e">
        <f t="shared" si="145"/>
        <v>#N/A</v>
      </c>
      <c r="V999" s="195" t="e">
        <f t="shared" si="146"/>
        <v>#N/A</v>
      </c>
      <c r="W999" s="185"/>
      <c r="X999" s="141"/>
      <c r="Z999" s="187"/>
      <c r="AA999" s="187"/>
    </row>
    <row r="1000" spans="1:27" s="186" customFormat="1" ht="15" customHeight="1">
      <c r="A1000" s="215"/>
      <c r="B1000" s="168" t="s">
        <v>1037</v>
      </c>
      <c r="C1000" s="298">
        <f>C999+2*SIN(RADIANS(M982))*(N975+C978)</f>
        <v>0</v>
      </c>
      <c r="D1000" s="323">
        <f>(C1000-(SIN(RADIANS(M982))*N975)-(COS(RADIANS(M982))*O975))*PI()/MEDIAN(U975:V979,P975:Q979)</f>
        <v>-4.7123889803846897</v>
      </c>
      <c r="E1000" s="323" t="e">
        <f>(C1000*PI()-N1000*(G1000+C978))/PI()</f>
        <v>#N/A</v>
      </c>
      <c r="F1000" s="323" t="e">
        <f>E1000-2*O975*COS(RADIANS(M982))</f>
        <v>#N/A</v>
      </c>
      <c r="G1000" s="325" t="e">
        <f>ROUND(VLOOKUP(M1000,R975:V979,4,FALSE),)</f>
        <v>#N/A</v>
      </c>
      <c r="H1000" s="325" t="e">
        <f>ROUND(VLOOKUP(O1000,M975:Q979,4,FALSE),)</f>
        <v>#N/A</v>
      </c>
      <c r="I1000" s="325" t="e">
        <f>ROUND(VLOOKUP(O1000,M975:Q979,5,FALSE),)</f>
        <v>#N/A</v>
      </c>
      <c r="J1000" s="325" t="e">
        <f>ROUND(VLOOKUP(Q1000,M975:Q979,4,FALSE),)</f>
        <v>#N/A</v>
      </c>
      <c r="K1000" s="325" t="e">
        <f>ROUND(VLOOKUP(Q1000,M975:Q979,5,FALSE),)</f>
        <v>#N/A</v>
      </c>
      <c r="L1000" s="620">
        <f t="shared" si="143"/>
        <v>-1.5707963267948966</v>
      </c>
      <c r="M1000" s="623">
        <f t="shared" si="147"/>
        <v>0</v>
      </c>
      <c r="N1000" s="621" t="e">
        <f>ROUND(HLOOKUP(M1000,N981:R982,2,FALSE),)</f>
        <v>#N/A</v>
      </c>
      <c r="O1000" s="623">
        <f t="shared" si="148"/>
        <v>0</v>
      </c>
      <c r="P1000" s="622" t="e">
        <f>PI()*(F1000*(J1000+C978)-E1000*(K1000+C978))/(((J1000+C978)*(I1000+C978))-((H1000+C978)*(K1000+C978)))</f>
        <v>#N/A</v>
      </c>
      <c r="Q1000" s="623">
        <f t="shared" si="149"/>
        <v>0</v>
      </c>
      <c r="R1000" s="622" t="e">
        <f>(E1000*PI()-P1000*(H1000+C978))/(J1000+C978)</f>
        <v>#N/A</v>
      </c>
      <c r="S1000" s="625">
        <f t="shared" si="150"/>
        <v>360</v>
      </c>
      <c r="T1000" s="236" t="e">
        <f t="shared" si="144"/>
        <v>#N/A</v>
      </c>
      <c r="U1000" s="195" t="e">
        <f t="shared" si="145"/>
        <v>#N/A</v>
      </c>
      <c r="V1000" s="195" t="e">
        <f t="shared" si="146"/>
        <v>#N/A</v>
      </c>
      <c r="W1000" s="185"/>
      <c r="X1000" s="141"/>
      <c r="Z1000" s="187"/>
      <c r="AA1000" s="187"/>
    </row>
    <row r="1001" spans="1:27" s="186" customFormat="1" ht="15" customHeight="1">
      <c r="A1001" s="215"/>
      <c r="B1001" s="168" t="s">
        <v>1038</v>
      </c>
      <c r="C1001" s="298">
        <f>C1000+2*SIN(RADIANS(M982))*(N975+C978)</f>
        <v>0</v>
      </c>
      <c r="D1001" s="323">
        <f>(C1001-(SIN(RADIANS(M982))*N975)-(COS(RADIANS(M982))*O975))*PI()/MEDIAN(U975:V979,P975:Q979)</f>
        <v>-4.7123889803846897</v>
      </c>
      <c r="E1001" s="323" t="e">
        <f>(C1001*PI()-N1001*(G1001+C978))/PI()</f>
        <v>#N/A</v>
      </c>
      <c r="F1001" s="323" t="e">
        <f>E1001-2*O975*COS(RADIANS(M982))</f>
        <v>#N/A</v>
      </c>
      <c r="G1001" s="325" t="e">
        <f>ROUND(VLOOKUP(M1001,R975:V979,4,FALSE),)</f>
        <v>#N/A</v>
      </c>
      <c r="H1001" s="325" t="e">
        <f>ROUND(VLOOKUP(O1001,M975:Q979,4,FALSE),)</f>
        <v>#N/A</v>
      </c>
      <c r="I1001" s="325" t="e">
        <f>ROUND(VLOOKUP(O1001,M975:Q979,5,FALSE),)</f>
        <v>#N/A</v>
      </c>
      <c r="J1001" s="325" t="e">
        <f>ROUND(VLOOKUP(Q1001,M975:Q979,4,FALSE),)</f>
        <v>#N/A</v>
      </c>
      <c r="K1001" s="325" t="e">
        <f>ROUND(VLOOKUP(Q1001,M975:Q979,5,FALSE),)</f>
        <v>#N/A</v>
      </c>
      <c r="L1001" s="620">
        <f t="shared" si="143"/>
        <v>-1.5707963267948966</v>
      </c>
      <c r="M1001" s="623">
        <f t="shared" si="147"/>
        <v>0</v>
      </c>
      <c r="N1001" s="621" t="e">
        <f>ROUND(HLOOKUP(M1001,N981:R982,2,FALSE),)</f>
        <v>#N/A</v>
      </c>
      <c r="O1001" s="623">
        <f t="shared" si="148"/>
        <v>0</v>
      </c>
      <c r="P1001" s="622" t="e">
        <f>PI()*(F1001*(J1001+C978)-E1001*(K1001+C978))/(((J1001+C978)*(I1001+C978))-((H1001+C978)*(K1001+C978)))</f>
        <v>#N/A</v>
      </c>
      <c r="Q1001" s="623">
        <f t="shared" si="149"/>
        <v>0</v>
      </c>
      <c r="R1001" s="622" t="e">
        <f>(E1001*PI()-P1001*(H1001+C978))/(J1001+C978)</f>
        <v>#N/A</v>
      </c>
      <c r="S1001" s="625">
        <f t="shared" si="150"/>
        <v>360</v>
      </c>
      <c r="T1001" s="236" t="e">
        <f t="shared" si="144"/>
        <v>#N/A</v>
      </c>
      <c r="U1001" s="195" t="e">
        <f t="shared" si="145"/>
        <v>#N/A</v>
      </c>
      <c r="V1001" s="195" t="e">
        <f t="shared" si="146"/>
        <v>#N/A</v>
      </c>
      <c r="W1001" s="185"/>
      <c r="X1001" s="141"/>
      <c r="Z1001" s="187"/>
      <c r="AA1001" s="187"/>
    </row>
    <row r="1002" spans="1:27" s="186" customFormat="1" ht="15" customHeight="1">
      <c r="A1002" s="215"/>
      <c r="B1002" s="168" t="s">
        <v>1039</v>
      </c>
      <c r="C1002" s="298">
        <f>C1001+2*SIN(RADIANS(M982))*(N975+C978)</f>
        <v>0</v>
      </c>
      <c r="D1002" s="323">
        <f>(C1002-(SIN(RADIANS(M982))*N975)-(COS(RADIANS(M982))*O975))*PI()/MEDIAN(U975:V979,P975:Q979)</f>
        <v>-4.7123889803846897</v>
      </c>
      <c r="E1002" s="323" t="e">
        <f>(C1002*PI()-N1002*(G1002+C978))/PI()</f>
        <v>#N/A</v>
      </c>
      <c r="F1002" s="323" t="e">
        <f>E1002-2*O975*COS(RADIANS(M982))</f>
        <v>#N/A</v>
      </c>
      <c r="G1002" s="325" t="e">
        <f>ROUND(VLOOKUP(M1002,R975:V979,4,FALSE),)</f>
        <v>#N/A</v>
      </c>
      <c r="H1002" s="325" t="e">
        <f>ROUND(VLOOKUP(O1002,M975:Q979,4,FALSE),)</f>
        <v>#N/A</v>
      </c>
      <c r="I1002" s="325" t="e">
        <f>ROUND(VLOOKUP(O1002,M975:Q979,5,FALSE),)</f>
        <v>#N/A</v>
      </c>
      <c r="J1002" s="325" t="e">
        <f>ROUND(VLOOKUP(Q1002,M975:Q979,4,FALSE),)</f>
        <v>#N/A</v>
      </c>
      <c r="K1002" s="325" t="e">
        <f>ROUND(VLOOKUP(Q1002,M975:Q979,5,FALSE),)</f>
        <v>#N/A</v>
      </c>
      <c r="L1002" s="620">
        <f t="shared" si="143"/>
        <v>-1.5707963267948966</v>
      </c>
      <c r="M1002" s="623">
        <f t="shared" si="147"/>
        <v>0</v>
      </c>
      <c r="N1002" s="621" t="e">
        <f>ROUND(HLOOKUP(M1002,N981:R982,2,FALSE),)</f>
        <v>#N/A</v>
      </c>
      <c r="O1002" s="623">
        <f t="shared" si="148"/>
        <v>0</v>
      </c>
      <c r="P1002" s="622" t="e">
        <f>PI()*(F1002*(J1002+C978)-E1002*(K1002+C978))/(((J1002+C978)*(I1002+C978))-((H1002+C978)*(K1002+C978)))</f>
        <v>#N/A</v>
      </c>
      <c r="Q1002" s="623">
        <f t="shared" si="149"/>
        <v>0</v>
      </c>
      <c r="R1002" s="622" t="e">
        <f>(E1002*PI()-P1002*(H1002+C978))/(J1002+C978)</f>
        <v>#N/A</v>
      </c>
      <c r="S1002" s="625">
        <f t="shared" si="150"/>
        <v>360</v>
      </c>
      <c r="T1002" s="236" t="e">
        <f t="shared" si="144"/>
        <v>#N/A</v>
      </c>
      <c r="U1002" s="195" t="e">
        <f t="shared" si="145"/>
        <v>#N/A</v>
      </c>
      <c r="V1002" s="195" t="e">
        <f t="shared" si="146"/>
        <v>#N/A</v>
      </c>
      <c r="W1002" s="185"/>
      <c r="X1002" s="141"/>
      <c r="Z1002" s="187"/>
      <c r="AA1002" s="187"/>
    </row>
    <row r="1003" spans="1:27" s="186" customFormat="1" ht="15" customHeight="1">
      <c r="A1003" s="215"/>
      <c r="B1003" s="168" t="s">
        <v>1040</v>
      </c>
      <c r="C1003" s="298">
        <f>C1002+2*SIN(RADIANS(M982))*(N975+C978)</f>
        <v>0</v>
      </c>
      <c r="D1003" s="323">
        <f>(C1003-(SIN(RADIANS(M982))*N975)-(COS(RADIANS(M982))*O975))*PI()/MEDIAN(U975:V979,P975:Q979)</f>
        <v>-4.7123889803846897</v>
      </c>
      <c r="E1003" s="323" t="e">
        <f>(C1003*PI()-N1003*(G1003+C978))/PI()</f>
        <v>#N/A</v>
      </c>
      <c r="F1003" s="323" t="e">
        <f>E1003-2*O975*COS(RADIANS(M982))</f>
        <v>#N/A</v>
      </c>
      <c r="G1003" s="325" t="e">
        <f>ROUND(VLOOKUP(M1003,R975:V979,4,FALSE),)</f>
        <v>#N/A</v>
      </c>
      <c r="H1003" s="325" t="e">
        <f>ROUND(VLOOKUP(O1003,M975:Q979,4,FALSE),)</f>
        <v>#N/A</v>
      </c>
      <c r="I1003" s="325" t="e">
        <f>ROUND(VLOOKUP(O1003,M975:Q979,5,FALSE),)</f>
        <v>#N/A</v>
      </c>
      <c r="J1003" s="325" t="e">
        <f>ROUND(VLOOKUP(Q1003,M975:Q979,4,FALSE),)</f>
        <v>#N/A</v>
      </c>
      <c r="K1003" s="325" t="e">
        <f>ROUND(VLOOKUP(Q1003,M975:Q979,5,FALSE),)</f>
        <v>#N/A</v>
      </c>
      <c r="L1003" s="620">
        <f t="shared" si="143"/>
        <v>-1.5707963267948966</v>
      </c>
      <c r="M1003" s="623">
        <f t="shared" si="147"/>
        <v>0</v>
      </c>
      <c r="N1003" s="621" t="e">
        <f>ROUND(HLOOKUP(M1003,N981:R982,2,FALSE),)</f>
        <v>#N/A</v>
      </c>
      <c r="O1003" s="623">
        <f t="shared" si="148"/>
        <v>0</v>
      </c>
      <c r="P1003" s="622" t="e">
        <f>PI()*(F1003*(J1003+C978)-E1003*(K1003+C978))/(((J1003+C978)*(I1003+C978))-((H1003+C978)*(K1003+C978)))</f>
        <v>#N/A</v>
      </c>
      <c r="Q1003" s="623">
        <f t="shared" si="149"/>
        <v>0</v>
      </c>
      <c r="R1003" s="622" t="e">
        <f>(E1003*PI()-P1003*(H1003+C978))/(J1003+C978)</f>
        <v>#N/A</v>
      </c>
      <c r="S1003" s="625">
        <f t="shared" si="150"/>
        <v>360</v>
      </c>
      <c r="T1003" s="236" t="e">
        <f t="shared" si="144"/>
        <v>#N/A</v>
      </c>
      <c r="U1003" s="195" t="e">
        <f t="shared" si="145"/>
        <v>#N/A</v>
      </c>
      <c r="V1003" s="195" t="e">
        <f t="shared" si="146"/>
        <v>#N/A</v>
      </c>
      <c r="W1003" s="185"/>
      <c r="X1003" s="141"/>
      <c r="Z1003" s="187"/>
      <c r="AA1003" s="187"/>
    </row>
    <row r="1004" spans="1:27" s="186" customFormat="1" ht="15" customHeight="1">
      <c r="A1004" s="215"/>
      <c r="B1004" s="168" t="s">
        <v>1041</v>
      </c>
      <c r="C1004" s="298">
        <f>C1003+2*SIN(RADIANS(M982))*(N975+C978)</f>
        <v>0</v>
      </c>
      <c r="D1004" s="323">
        <f>(C1004-(SIN(RADIANS(M982))*N975)-(COS(RADIANS(M982))*O975))*PI()/MEDIAN(U975:V979,P975:Q979)</f>
        <v>-4.7123889803846897</v>
      </c>
      <c r="E1004" s="323" t="e">
        <f>(C1004*PI()-N1004*(G1004+C978))/PI()</f>
        <v>#N/A</v>
      </c>
      <c r="F1004" s="323" t="e">
        <f>E1004-2*O975*COS(RADIANS(M982))</f>
        <v>#N/A</v>
      </c>
      <c r="G1004" s="325" t="e">
        <f>ROUND(VLOOKUP(M1004,R975:V979,4,FALSE),)</f>
        <v>#N/A</v>
      </c>
      <c r="H1004" s="325" t="e">
        <f>ROUND(VLOOKUP(O1004,M975:Q979,4,FALSE),)</f>
        <v>#N/A</v>
      </c>
      <c r="I1004" s="325" t="e">
        <f>ROUND(VLOOKUP(O1004,M975:Q979,5,FALSE),)</f>
        <v>#N/A</v>
      </c>
      <c r="J1004" s="325" t="e">
        <f>ROUND(VLOOKUP(Q1004,M975:Q979,4,FALSE),)</f>
        <v>#N/A</v>
      </c>
      <c r="K1004" s="325" t="e">
        <f>ROUND(VLOOKUP(Q1004,M975:Q979,5,FALSE),)</f>
        <v>#N/A</v>
      </c>
      <c r="L1004" s="620">
        <f t="shared" si="143"/>
        <v>-1.5707963267948966</v>
      </c>
      <c r="M1004" s="623">
        <f t="shared" si="147"/>
        <v>0</v>
      </c>
      <c r="N1004" s="621" t="e">
        <f>ROUND(HLOOKUP(M1004,N981:R982,2,FALSE),)</f>
        <v>#N/A</v>
      </c>
      <c r="O1004" s="623">
        <f t="shared" si="148"/>
        <v>0</v>
      </c>
      <c r="P1004" s="622" t="e">
        <f>PI()*(F1004*(J1004+C978)-E1004*(K1004+C978))/(((J1004+C978)*(I1004+C978))-((H1004+C978)*(K1004+C978)))</f>
        <v>#N/A</v>
      </c>
      <c r="Q1004" s="623">
        <f t="shared" si="149"/>
        <v>0</v>
      </c>
      <c r="R1004" s="622" t="e">
        <f>(E1004*PI()-P1004*(H1004+C978))/(J1004+C978)</f>
        <v>#N/A</v>
      </c>
      <c r="S1004" s="625">
        <f t="shared" si="150"/>
        <v>360</v>
      </c>
      <c r="T1004" s="236" t="e">
        <f t="shared" si="144"/>
        <v>#N/A</v>
      </c>
      <c r="U1004" s="195" t="e">
        <f t="shared" si="145"/>
        <v>#N/A</v>
      </c>
      <c r="V1004" s="195" t="e">
        <f t="shared" si="146"/>
        <v>#N/A</v>
      </c>
      <c r="W1004" s="185"/>
      <c r="X1004" s="141"/>
      <c r="Z1004" s="187"/>
      <c r="AA1004" s="187"/>
    </row>
    <row r="1005" spans="1:27" s="186" customFormat="1" ht="15" customHeight="1">
      <c r="A1005" s="215"/>
      <c r="B1005" s="168" t="s">
        <v>1042</v>
      </c>
      <c r="C1005" s="298">
        <f>C1004+2*SIN(RADIANS(M982))*(N975+C978)</f>
        <v>0</v>
      </c>
      <c r="D1005" s="323">
        <f>(C1005-(SIN(RADIANS(M982))*N975)-(COS(RADIANS(M982))*O975))*PI()/MEDIAN(U975:V979,P975:Q979)</f>
        <v>-4.7123889803846897</v>
      </c>
      <c r="E1005" s="323" t="e">
        <f>(C1005*PI()-N1005*(G1005+C978))/PI()</f>
        <v>#N/A</v>
      </c>
      <c r="F1005" s="323" t="e">
        <f>E1005-2*O975*COS(RADIANS(M982))</f>
        <v>#N/A</v>
      </c>
      <c r="G1005" s="325" t="e">
        <f>ROUND(VLOOKUP(M1005,R975:V979,4,FALSE),)</f>
        <v>#N/A</v>
      </c>
      <c r="H1005" s="325" t="e">
        <f>ROUND(VLOOKUP(O1005,M975:Q979,4,FALSE),)</f>
        <v>#N/A</v>
      </c>
      <c r="I1005" s="325" t="e">
        <f>ROUND(VLOOKUP(O1005,M975:Q979,5,FALSE),)</f>
        <v>#N/A</v>
      </c>
      <c r="J1005" s="325" t="e">
        <f>ROUND(VLOOKUP(Q1005,M975:Q979,4,FALSE),)</f>
        <v>#N/A</v>
      </c>
      <c r="K1005" s="325" t="e">
        <f>ROUND(VLOOKUP(Q1005,M975:Q979,5,FALSE),)</f>
        <v>#N/A</v>
      </c>
      <c r="L1005" s="620">
        <f t="shared" si="143"/>
        <v>-1.5707963267948966</v>
      </c>
      <c r="M1005" s="623">
        <f t="shared" si="147"/>
        <v>0</v>
      </c>
      <c r="N1005" s="621" t="e">
        <f>ROUND(HLOOKUP(M1005,N981:R982,2,FALSE),)</f>
        <v>#N/A</v>
      </c>
      <c r="O1005" s="623">
        <f t="shared" si="148"/>
        <v>0</v>
      </c>
      <c r="P1005" s="622" t="e">
        <f>PI()*(F1005*(J1005+C978)-E1005*(K1005+C978))/(((J1005+C978)*(I1005+C978))-((H1005+C978)*(K1005+C978)))</f>
        <v>#N/A</v>
      </c>
      <c r="Q1005" s="623">
        <f t="shared" si="149"/>
        <v>0</v>
      </c>
      <c r="R1005" s="622" t="e">
        <f>(E1005*PI()-P1005*(H1005+C978))/(J1005+C978)</f>
        <v>#N/A</v>
      </c>
      <c r="S1005" s="625">
        <f t="shared" si="150"/>
        <v>360</v>
      </c>
      <c r="T1005" s="236" t="e">
        <f t="shared" si="144"/>
        <v>#N/A</v>
      </c>
      <c r="U1005" s="195" t="e">
        <f t="shared" si="145"/>
        <v>#N/A</v>
      </c>
      <c r="V1005" s="195" t="e">
        <f t="shared" si="146"/>
        <v>#N/A</v>
      </c>
      <c r="W1005" s="185"/>
      <c r="X1005" s="141"/>
      <c r="Z1005" s="187"/>
      <c r="AA1005" s="187"/>
    </row>
    <row r="1006" spans="1:27" s="186" customFormat="1" ht="15" customHeight="1">
      <c r="A1006" s="215"/>
      <c r="B1006" s="168" t="s">
        <v>1043</v>
      </c>
      <c r="C1006" s="298">
        <f>C1005+2*SIN(RADIANS(M982))*(N975+C978)</f>
        <v>0</v>
      </c>
      <c r="D1006" s="323">
        <f>(C1006-(SIN(RADIANS(M982))*N975)-(COS(RADIANS(M982))*O975))*PI()/MEDIAN(U975:V979,P975:Q979)</f>
        <v>-4.7123889803846897</v>
      </c>
      <c r="E1006" s="323" t="e">
        <f>(C1006*PI()-N1006*(G1006+C978))/PI()</f>
        <v>#N/A</v>
      </c>
      <c r="F1006" s="323" t="e">
        <f>E1006-2*O975*COS(RADIANS(M982))</f>
        <v>#N/A</v>
      </c>
      <c r="G1006" s="325" t="e">
        <f>ROUND(VLOOKUP(M1006,R975:V979,4,FALSE),)</f>
        <v>#N/A</v>
      </c>
      <c r="H1006" s="325" t="e">
        <f>ROUND(VLOOKUP(O1006,M975:Q979,4,FALSE),)</f>
        <v>#N/A</v>
      </c>
      <c r="I1006" s="325" t="e">
        <f>ROUND(VLOOKUP(O1006,M975:Q979,5,FALSE),)</f>
        <v>#N/A</v>
      </c>
      <c r="J1006" s="325" t="e">
        <f>ROUND(VLOOKUP(Q1006,M975:Q979,4,FALSE),)</f>
        <v>#N/A</v>
      </c>
      <c r="K1006" s="325" t="e">
        <f>ROUND(VLOOKUP(Q1006,M975:Q979,5,FALSE),)</f>
        <v>#N/A</v>
      </c>
      <c r="L1006" s="620">
        <f t="shared" si="143"/>
        <v>-1.5707963267948966</v>
      </c>
      <c r="M1006" s="623">
        <f t="shared" si="147"/>
        <v>0</v>
      </c>
      <c r="N1006" s="621" t="e">
        <f>ROUND(HLOOKUP(M1006,N981:R982,2,FALSE),)</f>
        <v>#N/A</v>
      </c>
      <c r="O1006" s="623">
        <f t="shared" si="148"/>
        <v>0</v>
      </c>
      <c r="P1006" s="622" t="e">
        <f>PI()*(F1006*(J1006+C978)-E1006*(K1006+C978))/(((J1006+C978)*(I1006+C978))-((H1006+C978)*(K1006+C978)))</f>
        <v>#N/A</v>
      </c>
      <c r="Q1006" s="623">
        <f t="shared" si="149"/>
        <v>0</v>
      </c>
      <c r="R1006" s="622" t="e">
        <f>(E1006*PI()-P1006*(H1006+C978))/(J1006+C978)</f>
        <v>#N/A</v>
      </c>
      <c r="S1006" s="625">
        <f t="shared" si="150"/>
        <v>360</v>
      </c>
      <c r="T1006" s="236" t="e">
        <f t="shared" si="144"/>
        <v>#N/A</v>
      </c>
      <c r="U1006" s="195" t="e">
        <f t="shared" si="145"/>
        <v>#N/A</v>
      </c>
      <c r="V1006" s="195" t="e">
        <f t="shared" si="146"/>
        <v>#N/A</v>
      </c>
      <c r="W1006" s="185"/>
      <c r="X1006" s="141"/>
      <c r="Z1006" s="187"/>
      <c r="AA1006" s="187"/>
    </row>
    <row r="1007" spans="1:27" s="186" customFormat="1" ht="15" customHeight="1">
      <c r="A1007" s="215"/>
      <c r="B1007" s="168" t="s">
        <v>1044</v>
      </c>
      <c r="C1007" s="298">
        <f>C1006+2*SIN(RADIANS(M982))*(N975+C978)</f>
        <v>0</v>
      </c>
      <c r="D1007" s="323">
        <f>(C1007-(SIN(RADIANS(M982))*N975)-(COS(RADIANS(M982))*O975))*PI()/MEDIAN(U975:V979,P975:Q979)</f>
        <v>-4.7123889803846897</v>
      </c>
      <c r="E1007" s="323" t="e">
        <f>(C1007*PI()-N1007*(G1007+C978))/PI()</f>
        <v>#N/A</v>
      </c>
      <c r="F1007" s="323" t="e">
        <f>E1007-2*O975*COS(RADIANS(M982))</f>
        <v>#N/A</v>
      </c>
      <c r="G1007" s="325" t="e">
        <f>ROUND(VLOOKUP(M1007,R975:V979,4,FALSE),)</f>
        <v>#N/A</v>
      </c>
      <c r="H1007" s="325" t="e">
        <f>ROUND(VLOOKUP(O1007,M975:Q979,4,FALSE),)</f>
        <v>#N/A</v>
      </c>
      <c r="I1007" s="325" t="e">
        <f>ROUND(VLOOKUP(O1007,M975:Q979,5,FALSE),)</f>
        <v>#N/A</v>
      </c>
      <c r="J1007" s="325" t="e">
        <f>ROUND(VLOOKUP(Q1007,M975:Q979,4,FALSE),)</f>
        <v>#N/A</v>
      </c>
      <c r="K1007" s="325" t="e">
        <f>ROUND(VLOOKUP(Q1007,M975:Q979,5,FALSE),)</f>
        <v>#N/A</v>
      </c>
      <c r="L1007" s="620">
        <f t="shared" si="143"/>
        <v>-1.5707963267948966</v>
      </c>
      <c r="M1007" s="623">
        <f t="shared" si="147"/>
        <v>0</v>
      </c>
      <c r="N1007" s="621" t="e">
        <f>ROUND(HLOOKUP(M1007,N981:R982,2,FALSE),)</f>
        <v>#N/A</v>
      </c>
      <c r="O1007" s="623">
        <f t="shared" si="148"/>
        <v>0</v>
      </c>
      <c r="P1007" s="622" t="e">
        <f>PI()*(F1007*(J1007+C978)-E1007*(K1007+C978))/(((J1007+C978)*(I1007+C978))-((H1007+C978)*(K1007+C978)))</f>
        <v>#N/A</v>
      </c>
      <c r="Q1007" s="623">
        <f t="shared" si="149"/>
        <v>0</v>
      </c>
      <c r="R1007" s="622" t="e">
        <f>(E1007*PI()-P1007*(H1007+C978))/(J1007+C978)</f>
        <v>#N/A</v>
      </c>
      <c r="S1007" s="625">
        <f t="shared" si="150"/>
        <v>360</v>
      </c>
      <c r="T1007" s="236" t="e">
        <f t="shared" si="144"/>
        <v>#N/A</v>
      </c>
      <c r="U1007" s="195" t="e">
        <f t="shared" si="145"/>
        <v>#N/A</v>
      </c>
      <c r="V1007" s="195" t="e">
        <f t="shared" si="146"/>
        <v>#N/A</v>
      </c>
      <c r="W1007" s="185"/>
      <c r="X1007" s="141"/>
      <c r="Z1007" s="187"/>
      <c r="AA1007" s="187"/>
    </row>
    <row r="1008" spans="1:27" s="186" customFormat="1" ht="15" customHeight="1">
      <c r="A1008" s="215"/>
      <c r="B1008" s="168" t="s">
        <v>1045</v>
      </c>
      <c r="C1008" s="298">
        <f>C1007+2*SIN(RADIANS(M982))*(N975+C978)</f>
        <v>0</v>
      </c>
      <c r="D1008" s="323">
        <f>(C1008-(SIN(RADIANS(M982))*N975)-(COS(RADIANS(M982))*O975))*PI()/MEDIAN(U975:V979,P975:Q979)</f>
        <v>-4.7123889803846897</v>
      </c>
      <c r="E1008" s="323" t="e">
        <f>(C1008*PI()-N1008*(G1008+C978))/PI()</f>
        <v>#N/A</v>
      </c>
      <c r="F1008" s="323" t="e">
        <f>E1008-2*O975*COS(RADIANS(M982))</f>
        <v>#N/A</v>
      </c>
      <c r="G1008" s="325" t="e">
        <f>ROUND(VLOOKUP(M1008,R975:V979,4,FALSE),)</f>
        <v>#N/A</v>
      </c>
      <c r="H1008" s="325" t="e">
        <f>ROUND(VLOOKUP(O1008,M975:Q979,4,FALSE),)</f>
        <v>#N/A</v>
      </c>
      <c r="I1008" s="325" t="e">
        <f>ROUND(VLOOKUP(O1008,M975:Q979,5,FALSE),)</f>
        <v>#N/A</v>
      </c>
      <c r="J1008" s="325" t="e">
        <f>ROUND(VLOOKUP(Q1008,M975:Q979,4,FALSE),)</f>
        <v>#N/A</v>
      </c>
      <c r="K1008" s="325" t="e">
        <f>ROUND(VLOOKUP(Q1008,M975:Q979,5,FALSE),)</f>
        <v>#N/A</v>
      </c>
      <c r="L1008" s="620">
        <f t="shared" si="143"/>
        <v>-1.5707963267948966</v>
      </c>
      <c r="M1008" s="623">
        <f t="shared" si="147"/>
        <v>0</v>
      </c>
      <c r="N1008" s="621" t="e">
        <f>ROUND(HLOOKUP(M1008,N981:R982,2,FALSE),)</f>
        <v>#N/A</v>
      </c>
      <c r="O1008" s="623">
        <f t="shared" si="148"/>
        <v>0</v>
      </c>
      <c r="P1008" s="622" t="e">
        <f>PI()*(F1008*(J1008+C978)-E1008*(K1008+C978))/(((J1008+C978)*(I1008+C978))-((H1008+C978)*(K1008+C978)))</f>
        <v>#N/A</v>
      </c>
      <c r="Q1008" s="623">
        <f t="shared" si="149"/>
        <v>0</v>
      </c>
      <c r="R1008" s="622" t="e">
        <f>(E1008*PI()-P1008*(H1008+C978))/(J1008+C978)</f>
        <v>#N/A</v>
      </c>
      <c r="S1008" s="625">
        <f t="shared" si="150"/>
        <v>360</v>
      </c>
      <c r="T1008" s="236" t="e">
        <f t="shared" si="144"/>
        <v>#N/A</v>
      </c>
      <c r="U1008" s="195" t="e">
        <f t="shared" si="145"/>
        <v>#N/A</v>
      </c>
      <c r="V1008" s="195" t="e">
        <f t="shared" si="146"/>
        <v>#N/A</v>
      </c>
      <c r="W1008" s="185"/>
      <c r="X1008" s="141"/>
      <c r="Z1008" s="187"/>
      <c r="AA1008" s="187"/>
    </row>
    <row r="1009" spans="1:27" s="186" customFormat="1" ht="15" customHeight="1">
      <c r="A1009" s="215"/>
      <c r="B1009" s="168" t="s">
        <v>1046</v>
      </c>
      <c r="C1009" s="298">
        <f>C1008+2*SIN(RADIANS(M982))*(N975+C978)</f>
        <v>0</v>
      </c>
      <c r="D1009" s="323">
        <f>(C1009-(SIN(RADIANS(M982))*N975)-(COS(RADIANS(M982))*O975))*PI()/MEDIAN(U975:V979,P975:Q979)</f>
        <v>-4.7123889803846897</v>
      </c>
      <c r="E1009" s="323" t="e">
        <f>(C1009*PI()-N1009*(G1009+C978))/PI()</f>
        <v>#N/A</v>
      </c>
      <c r="F1009" s="323" t="e">
        <f>E1009-2*O975*COS(RADIANS(M982))</f>
        <v>#N/A</v>
      </c>
      <c r="G1009" s="325" t="e">
        <f>ROUND(VLOOKUP(M1009,R975:V979,4,FALSE),)</f>
        <v>#N/A</v>
      </c>
      <c r="H1009" s="325" t="e">
        <f>ROUND(VLOOKUP(O1009,M975:Q979,4,FALSE),)</f>
        <v>#N/A</v>
      </c>
      <c r="I1009" s="325" t="e">
        <f>ROUND(VLOOKUP(O1009,M975:Q979,5,FALSE),)</f>
        <v>#N/A</v>
      </c>
      <c r="J1009" s="325" t="e">
        <f>ROUND(VLOOKUP(Q1009,M975:Q979,4,FALSE),)</f>
        <v>#N/A</v>
      </c>
      <c r="K1009" s="325" t="e">
        <f>ROUND(VLOOKUP(Q1009,M975:Q979,5,FALSE),)</f>
        <v>#N/A</v>
      </c>
      <c r="L1009" s="620">
        <f t="shared" si="143"/>
        <v>-1.5707963267948966</v>
      </c>
      <c r="M1009" s="623">
        <f t="shared" si="147"/>
        <v>0</v>
      </c>
      <c r="N1009" s="621" t="e">
        <f>ROUND(HLOOKUP(M1009,N981:R982,2,FALSE),)</f>
        <v>#N/A</v>
      </c>
      <c r="O1009" s="623">
        <f t="shared" si="148"/>
        <v>0</v>
      </c>
      <c r="P1009" s="622" t="e">
        <f>PI()*(F1009*(J1009+C978)-E1009*(K1009+C978))/(((J1009+C978)*(I1009+C978))-((H1009+C978)*(K1009+C978)))</f>
        <v>#N/A</v>
      </c>
      <c r="Q1009" s="623">
        <f t="shared" si="149"/>
        <v>0</v>
      </c>
      <c r="R1009" s="622" t="e">
        <f>(E1009*PI()-P1009*(H1009+C978))/(J1009+C978)</f>
        <v>#N/A</v>
      </c>
      <c r="S1009" s="625">
        <f t="shared" si="150"/>
        <v>360</v>
      </c>
      <c r="T1009" s="236" t="e">
        <f t="shared" si="144"/>
        <v>#N/A</v>
      </c>
      <c r="U1009" s="195" t="e">
        <f t="shared" si="145"/>
        <v>#N/A</v>
      </c>
      <c r="V1009" s="195" t="e">
        <f t="shared" si="146"/>
        <v>#N/A</v>
      </c>
      <c r="W1009" s="185"/>
      <c r="X1009" s="141"/>
      <c r="Z1009" s="187"/>
      <c r="AA1009" s="187"/>
    </row>
    <row r="1010" spans="1:27" s="186" customFormat="1" ht="15" customHeight="1">
      <c r="A1010" s="215"/>
      <c r="B1010" s="168" t="s">
        <v>1047</v>
      </c>
      <c r="C1010" s="298">
        <f>C1009+2*SIN(RADIANS(M982))*(N975+C978)</f>
        <v>0</v>
      </c>
      <c r="D1010" s="323">
        <f>(C1010-(SIN(RADIANS(M982))*N975)-(COS(RADIANS(M982))*O975))*PI()/MEDIAN(U975:V979,P975:Q979)</f>
        <v>-4.7123889803846897</v>
      </c>
      <c r="E1010" s="323" t="e">
        <f>(C1010*PI()-N1010*(G1010+C978))/PI()</f>
        <v>#N/A</v>
      </c>
      <c r="F1010" s="323" t="e">
        <f>E1010-2*O975*COS(RADIANS(M982))</f>
        <v>#N/A</v>
      </c>
      <c r="G1010" s="325" t="e">
        <f>ROUND(VLOOKUP(M1010,R975:V979,4,FALSE),)</f>
        <v>#N/A</v>
      </c>
      <c r="H1010" s="325" t="e">
        <f>ROUND(VLOOKUP(O1010,M975:Q979,4,FALSE),)</f>
        <v>#N/A</v>
      </c>
      <c r="I1010" s="325" t="e">
        <f>ROUND(VLOOKUP(O1010,M975:Q979,5,FALSE),)</f>
        <v>#N/A</v>
      </c>
      <c r="J1010" s="325" t="e">
        <f>ROUND(VLOOKUP(Q1010,M975:Q979,4,FALSE),)</f>
        <v>#N/A</v>
      </c>
      <c r="K1010" s="325" t="e">
        <f>ROUND(VLOOKUP(Q1010,M975:Q979,5,FALSE),)</f>
        <v>#N/A</v>
      </c>
      <c r="L1010" s="620">
        <f t="shared" si="143"/>
        <v>-1.5707963267948966</v>
      </c>
      <c r="M1010" s="623">
        <f t="shared" si="147"/>
        <v>0</v>
      </c>
      <c r="N1010" s="621" t="e">
        <f>ROUND(HLOOKUP(M1010,N981:R982,2,FALSE),)</f>
        <v>#N/A</v>
      </c>
      <c r="O1010" s="623">
        <f t="shared" si="148"/>
        <v>0</v>
      </c>
      <c r="P1010" s="622" t="e">
        <f>PI()*(F1010*(J1010+C978)-E1010*(K1010+C978))/(((J1010+C978)*(I1010+C978))-((H1010+C978)*(K1010+C978)))</f>
        <v>#N/A</v>
      </c>
      <c r="Q1010" s="623">
        <f t="shared" si="149"/>
        <v>0</v>
      </c>
      <c r="R1010" s="622" t="e">
        <f>(E1010*PI()-P1010*(H1010+C978))/(J1010+C978)</f>
        <v>#N/A</v>
      </c>
      <c r="S1010" s="625">
        <f t="shared" si="150"/>
        <v>360</v>
      </c>
      <c r="T1010" s="236" t="e">
        <f t="shared" si="144"/>
        <v>#N/A</v>
      </c>
      <c r="U1010" s="195" t="e">
        <f t="shared" si="145"/>
        <v>#N/A</v>
      </c>
      <c r="V1010" s="195" t="e">
        <f t="shared" si="146"/>
        <v>#N/A</v>
      </c>
      <c r="W1010" s="185"/>
      <c r="X1010" s="141"/>
      <c r="Z1010" s="187"/>
      <c r="AA1010" s="187"/>
    </row>
    <row r="1011" spans="1:27" s="186" customFormat="1" ht="15" customHeight="1">
      <c r="A1011" s="215"/>
      <c r="B1011" s="168" t="s">
        <v>1048</v>
      </c>
      <c r="C1011" s="298">
        <f>C1010+2*SIN(RADIANS(M982))*(N975+C978)</f>
        <v>0</v>
      </c>
      <c r="D1011" s="323">
        <f>(C1011-(SIN(RADIANS(M982))*N975)-(COS(RADIANS(M982))*O975))*PI()/MEDIAN(U975:V979,P975:Q979)</f>
        <v>-4.7123889803846897</v>
      </c>
      <c r="E1011" s="323" t="e">
        <f>(C1011*PI()-N1011*(G1011+C978))/PI()</f>
        <v>#N/A</v>
      </c>
      <c r="F1011" s="323" t="e">
        <f>E1011-2*O975*COS(RADIANS(M982))</f>
        <v>#N/A</v>
      </c>
      <c r="G1011" s="325" t="e">
        <f>ROUND(VLOOKUP(M1011,R975:V979,4,FALSE),)</f>
        <v>#N/A</v>
      </c>
      <c r="H1011" s="325" t="e">
        <f>ROUND(VLOOKUP(O1011,M975:Q979,4,FALSE),)</f>
        <v>#N/A</v>
      </c>
      <c r="I1011" s="325" t="e">
        <f>ROUND(VLOOKUP(O1011,M975:Q979,5,FALSE),)</f>
        <v>#N/A</v>
      </c>
      <c r="J1011" s="325" t="e">
        <f>ROUND(VLOOKUP(Q1011,M975:Q979,4,FALSE),)</f>
        <v>#N/A</v>
      </c>
      <c r="K1011" s="325" t="e">
        <f>ROUND(VLOOKUP(Q1011,M975:Q979,5,FALSE),)</f>
        <v>#N/A</v>
      </c>
      <c r="L1011" s="620">
        <f t="shared" si="143"/>
        <v>-1.5707963267948966</v>
      </c>
      <c r="M1011" s="623">
        <f t="shared" si="147"/>
        <v>0</v>
      </c>
      <c r="N1011" s="621" t="e">
        <f>ROUND(HLOOKUP(M1011,N981:R982,2,FALSE),)</f>
        <v>#N/A</v>
      </c>
      <c r="O1011" s="623">
        <f t="shared" si="148"/>
        <v>0</v>
      </c>
      <c r="P1011" s="622" t="e">
        <f>PI()*(F1011*(J1011+C978)-E1011*(K1011+C978))/(((J1011+C978)*(I1011+C978))-((H1011+C978)*(K1011+C978)))</f>
        <v>#N/A</v>
      </c>
      <c r="Q1011" s="623">
        <f t="shared" si="149"/>
        <v>0</v>
      </c>
      <c r="R1011" s="622" t="e">
        <f>(E1011*PI()-P1011*(H1011+C978))/(J1011+C978)</f>
        <v>#N/A</v>
      </c>
      <c r="S1011" s="625">
        <f t="shared" si="150"/>
        <v>360</v>
      </c>
      <c r="T1011" s="236" t="e">
        <f t="shared" si="144"/>
        <v>#N/A</v>
      </c>
      <c r="U1011" s="195" t="e">
        <f t="shared" si="145"/>
        <v>#N/A</v>
      </c>
      <c r="V1011" s="195" t="e">
        <f t="shared" si="146"/>
        <v>#N/A</v>
      </c>
      <c r="W1011" s="185"/>
      <c r="X1011" s="141"/>
      <c r="Z1011" s="187"/>
      <c r="AA1011" s="187"/>
    </row>
    <row r="1012" spans="1:27" s="186" customFormat="1" ht="15" customHeight="1">
      <c r="A1012" s="215"/>
      <c r="B1012" s="168" t="s">
        <v>1049</v>
      </c>
      <c r="C1012" s="298">
        <f>C1011+2*SIN(RADIANS(M982))*(N975+C978)</f>
        <v>0</v>
      </c>
      <c r="D1012" s="323">
        <f>(C1012-(SIN(RADIANS(M982))*N975)-(COS(RADIANS(M982))*O975))*PI()/MEDIAN(U975:V979,P975:Q979)</f>
        <v>-4.7123889803846897</v>
      </c>
      <c r="E1012" s="323" t="e">
        <f>(C1012*PI()-N1012*(G1012+C978))/PI()</f>
        <v>#N/A</v>
      </c>
      <c r="F1012" s="323" t="e">
        <f>E1012-2*O975*COS(RADIANS(M982))</f>
        <v>#N/A</v>
      </c>
      <c r="G1012" s="325" t="e">
        <f>ROUND(VLOOKUP(M1012,R975:V979,4,FALSE),)</f>
        <v>#N/A</v>
      </c>
      <c r="H1012" s="325" t="e">
        <f>ROUND(VLOOKUP(O1012,M975:Q979,4,FALSE),)</f>
        <v>#N/A</v>
      </c>
      <c r="I1012" s="325" t="e">
        <f>ROUND(VLOOKUP(O1012,M975:Q979,5,FALSE),)</f>
        <v>#N/A</v>
      </c>
      <c r="J1012" s="325" t="e">
        <f>ROUND(VLOOKUP(Q1012,M975:Q979,4,FALSE),)</f>
        <v>#N/A</v>
      </c>
      <c r="K1012" s="325" t="e">
        <f>ROUND(VLOOKUP(Q1012,M975:Q979,5,FALSE),)</f>
        <v>#N/A</v>
      </c>
      <c r="L1012" s="620">
        <f t="shared" si="143"/>
        <v>-1.5707963267948966</v>
      </c>
      <c r="M1012" s="623">
        <f t="shared" si="147"/>
        <v>0</v>
      </c>
      <c r="N1012" s="621" t="e">
        <f>ROUND(HLOOKUP(M1012,N981:R982,2,FALSE),)</f>
        <v>#N/A</v>
      </c>
      <c r="O1012" s="623">
        <f t="shared" si="148"/>
        <v>0</v>
      </c>
      <c r="P1012" s="622" t="e">
        <f t="shared" ref="P1012" si="151">PI()*(F1012*(J1012+$C$342)-E1012*(K1012+$C$342))/(((J1012+$C$342)*(I1012+$C$342))-((H1012+$C$342)*(K1012+$C$342)))</f>
        <v>#N/A</v>
      </c>
      <c r="Q1012" s="623">
        <f t="shared" si="149"/>
        <v>0</v>
      </c>
      <c r="R1012" s="622" t="e">
        <f>(E1012*PI()-P1012*(H1012+C978))/(J1012+C978)</f>
        <v>#N/A</v>
      </c>
      <c r="S1012" s="625">
        <f t="shared" si="150"/>
        <v>360</v>
      </c>
      <c r="T1012" s="236" t="e">
        <f t="shared" si="144"/>
        <v>#N/A</v>
      </c>
      <c r="U1012" s="195" t="e">
        <f t="shared" si="145"/>
        <v>#N/A</v>
      </c>
      <c r="V1012" s="195" t="e">
        <f t="shared" si="146"/>
        <v>#N/A</v>
      </c>
      <c r="W1012" s="185"/>
      <c r="X1012" s="141"/>
      <c r="Z1012" s="187"/>
      <c r="AA1012" s="187"/>
    </row>
    <row r="1013" spans="1:27" s="186" customFormat="1" ht="15" customHeight="1">
      <c r="A1013" s="215"/>
      <c r="B1013" s="168" t="s">
        <v>1050</v>
      </c>
      <c r="C1013" s="298">
        <f>C1012+2*SIN(RADIANS(M982))*(N975+C978)</f>
        <v>0</v>
      </c>
      <c r="D1013" s="323">
        <f>(C1013-(SIN(RADIANS(M982))*N975)-(COS(RADIANS(M982))*O975))*PI()/MEDIAN(U975:V979,P975:Q979)</f>
        <v>-4.7123889803846897</v>
      </c>
      <c r="E1013" s="323" t="e">
        <f>(C1013*PI()-N1013*(G1013+C978))/PI()</f>
        <v>#N/A</v>
      </c>
      <c r="F1013" s="323" t="e">
        <f>E1013-2*O975*COS(RADIANS(M982))</f>
        <v>#N/A</v>
      </c>
      <c r="G1013" s="325" t="e">
        <f>ROUND(VLOOKUP(M1013,R975:V979,4,FALSE),)</f>
        <v>#N/A</v>
      </c>
      <c r="H1013" s="325" t="e">
        <f>ROUND(VLOOKUP(O1013,M975:Q979,4,FALSE),)</f>
        <v>#N/A</v>
      </c>
      <c r="I1013" s="325" t="e">
        <f>ROUND(VLOOKUP(O1013,M975:Q979,5,FALSE),)</f>
        <v>#N/A</v>
      </c>
      <c r="J1013" s="325" t="e">
        <f>ROUND(VLOOKUP(Q1013,M975:Q979,4,FALSE),)</f>
        <v>#N/A</v>
      </c>
      <c r="K1013" s="325" t="e">
        <f>ROUND(VLOOKUP(Q1013,M975:Q979,5,FALSE),)</f>
        <v>#N/A</v>
      </c>
      <c r="L1013" s="620">
        <f t="shared" si="143"/>
        <v>-1.5707963267948966</v>
      </c>
      <c r="M1013" s="623">
        <f t="shared" si="147"/>
        <v>0</v>
      </c>
      <c r="N1013" s="621" t="e">
        <f>ROUND(HLOOKUP(M1013,N981:R982,2,FALSE),)</f>
        <v>#N/A</v>
      </c>
      <c r="O1013" s="623">
        <f t="shared" si="148"/>
        <v>0</v>
      </c>
      <c r="P1013" s="622" t="e">
        <f>PI()*(F1013*(J1013+C978)-E1013*(K1013+C978))/(((J1013+C978)*(I1013+C978))-((H1013+C978)*(K1013+C978)))</f>
        <v>#N/A</v>
      </c>
      <c r="Q1013" s="623">
        <f t="shared" si="149"/>
        <v>0</v>
      </c>
      <c r="R1013" s="622" t="e">
        <f>(E1013*PI()-P1013*(H1013+C978))/(J1013+C978)</f>
        <v>#N/A</v>
      </c>
      <c r="S1013" s="625">
        <f t="shared" si="150"/>
        <v>360</v>
      </c>
      <c r="T1013" s="236" t="e">
        <f t="shared" si="144"/>
        <v>#N/A</v>
      </c>
      <c r="U1013" s="195" t="e">
        <f t="shared" si="145"/>
        <v>#N/A</v>
      </c>
      <c r="V1013" s="195" t="e">
        <f t="shared" si="146"/>
        <v>#N/A</v>
      </c>
      <c r="W1013" s="185"/>
      <c r="X1013" s="141"/>
      <c r="Z1013" s="187"/>
      <c r="AA1013" s="187"/>
    </row>
    <row r="1014" spans="1:27" s="186" customFormat="1" ht="15" customHeight="1">
      <c r="A1014" s="215"/>
      <c r="B1014" s="168" t="s">
        <v>1051</v>
      </c>
      <c r="C1014" s="298">
        <f>C1013+2*SIN(RADIANS(M982))*(N975+C978)</f>
        <v>0</v>
      </c>
      <c r="D1014" s="323">
        <f>(C1014-(SIN(RADIANS(M982))*N975)-(COS(RADIANS(M982))*O975))*PI()/MEDIAN(U975:V979,P975:Q979)</f>
        <v>-4.7123889803846897</v>
      </c>
      <c r="E1014" s="323" t="e">
        <f>(C1014*PI()-N1014*(G1014+C978))/PI()</f>
        <v>#N/A</v>
      </c>
      <c r="F1014" s="323" t="e">
        <f>E1014-2*O975*COS(RADIANS(M982))</f>
        <v>#N/A</v>
      </c>
      <c r="G1014" s="325" t="e">
        <f>ROUND(VLOOKUP(M1014,R975:V979,4,FALSE),)</f>
        <v>#N/A</v>
      </c>
      <c r="H1014" s="325" t="e">
        <f>ROUND(VLOOKUP(O1014,M975:Q979,4,FALSE),)</f>
        <v>#N/A</v>
      </c>
      <c r="I1014" s="325" t="e">
        <f>ROUND(VLOOKUP(O1014,M975:Q979,5,FALSE),)</f>
        <v>#N/A</v>
      </c>
      <c r="J1014" s="325" t="e">
        <f>ROUND(VLOOKUP(Q1014,M975:Q979,4,FALSE),)</f>
        <v>#N/A</v>
      </c>
      <c r="K1014" s="325" t="e">
        <f>ROUND(VLOOKUP(Q1014,M975:Q979,5,FALSE),)</f>
        <v>#N/A</v>
      </c>
      <c r="L1014" s="620">
        <f t="shared" si="143"/>
        <v>-1.5707963267948966</v>
      </c>
      <c r="M1014" s="623">
        <f t="shared" si="147"/>
        <v>0</v>
      </c>
      <c r="N1014" s="621" t="e">
        <f>ROUND(HLOOKUP(M1014,N981:R982,2,FALSE),)</f>
        <v>#N/A</v>
      </c>
      <c r="O1014" s="623">
        <f t="shared" si="148"/>
        <v>0</v>
      </c>
      <c r="P1014" s="622" t="e">
        <f>PI()*(F1014*(J1014+C978)-E1014*(K1014+C978))/(((J1014+C978)*(I1014+C978))-((H1014+C978)*(K1014+C978)))</f>
        <v>#N/A</v>
      </c>
      <c r="Q1014" s="623">
        <f t="shared" si="149"/>
        <v>0</v>
      </c>
      <c r="R1014" s="622" t="e">
        <f>(E1014*PI()-P1014*(H1014+C978))/(J1014+C978)</f>
        <v>#N/A</v>
      </c>
      <c r="S1014" s="625">
        <f t="shared" si="150"/>
        <v>360</v>
      </c>
      <c r="T1014" s="236" t="e">
        <f t="shared" si="144"/>
        <v>#N/A</v>
      </c>
      <c r="U1014" s="195" t="e">
        <f t="shared" si="145"/>
        <v>#N/A</v>
      </c>
      <c r="V1014" s="195" t="e">
        <f t="shared" si="146"/>
        <v>#N/A</v>
      </c>
      <c r="W1014" s="185"/>
      <c r="X1014" s="141"/>
      <c r="Z1014" s="187"/>
      <c r="AA1014" s="187"/>
    </row>
    <row r="1015" spans="1:27" s="186" customFormat="1" ht="15" customHeight="1">
      <c r="A1015" s="215"/>
      <c r="B1015" s="168" t="s">
        <v>1052</v>
      </c>
      <c r="C1015" s="298">
        <f>C1014+2*SIN(RADIANS(M982))*(N975+C978)</f>
        <v>0</v>
      </c>
      <c r="D1015" s="323">
        <f>(C1015-(SIN(RADIANS(M982))*N975)-(COS(RADIANS(M982))*O975))*PI()/MEDIAN(U975:V979,P975:Q979)</f>
        <v>-4.7123889803846897</v>
      </c>
      <c r="E1015" s="323" t="e">
        <f>(C1015*PI()-N1015*(G1015+C978))/PI()</f>
        <v>#N/A</v>
      </c>
      <c r="F1015" s="323" t="e">
        <f>E1015-2*O975*COS(RADIANS(M982))</f>
        <v>#N/A</v>
      </c>
      <c r="G1015" s="325" t="e">
        <f>ROUND(VLOOKUP(M1015,R975:V979,4,FALSE),)</f>
        <v>#N/A</v>
      </c>
      <c r="H1015" s="325" t="e">
        <f>ROUND(VLOOKUP(O1015,M975:Q979,4,FALSE),)</f>
        <v>#N/A</v>
      </c>
      <c r="I1015" s="325" t="e">
        <f>ROUND(VLOOKUP(O1015,M975:Q979,5,FALSE),)</f>
        <v>#N/A</v>
      </c>
      <c r="J1015" s="325" t="e">
        <f>ROUND(VLOOKUP(Q1015,M975:Q979,4,FALSE),)</f>
        <v>#N/A</v>
      </c>
      <c r="K1015" s="325" t="e">
        <f>ROUND(VLOOKUP(Q1015,M975:Q979,5,FALSE),)</f>
        <v>#N/A</v>
      </c>
      <c r="L1015" s="620">
        <f t="shared" si="143"/>
        <v>-1.5707963267948966</v>
      </c>
      <c r="M1015" s="623">
        <f t="shared" si="147"/>
        <v>0</v>
      </c>
      <c r="N1015" s="621" t="e">
        <f>ROUND(HLOOKUP(M1015,N981:R982,2,FALSE),)</f>
        <v>#N/A</v>
      </c>
      <c r="O1015" s="623">
        <f t="shared" si="148"/>
        <v>0</v>
      </c>
      <c r="P1015" s="622" t="e">
        <f>PI()*(F1015*(J1015+C978)-E1015*(K1015+C978))/(((J1015+C978)*(I1015+C978))-((H1015+C978)*(K1015+C978)))</f>
        <v>#N/A</v>
      </c>
      <c r="Q1015" s="623">
        <f t="shared" si="149"/>
        <v>0</v>
      </c>
      <c r="R1015" s="622" t="e">
        <f>(E1015*PI()-P1015*(H1015+C978))/(J1015+C978)</f>
        <v>#N/A</v>
      </c>
      <c r="S1015" s="625">
        <f t="shared" si="150"/>
        <v>360</v>
      </c>
      <c r="T1015" s="236" t="e">
        <f t="shared" si="144"/>
        <v>#N/A</v>
      </c>
      <c r="U1015" s="195" t="e">
        <f t="shared" si="145"/>
        <v>#N/A</v>
      </c>
      <c r="V1015" s="195" t="e">
        <f t="shared" si="146"/>
        <v>#N/A</v>
      </c>
      <c r="W1015" s="185"/>
      <c r="X1015" s="141"/>
      <c r="Z1015" s="187"/>
      <c r="AA1015" s="187"/>
    </row>
    <row r="1016" spans="1:27" s="186" customFormat="1" ht="15" customHeight="1">
      <c r="A1016" s="215"/>
      <c r="B1016" s="168" t="s">
        <v>1053</v>
      </c>
      <c r="C1016" s="298">
        <f>C1015+2*SIN(RADIANS(M982))*(N975+C978)</f>
        <v>0</v>
      </c>
      <c r="D1016" s="323">
        <f>(C1016-(SIN(RADIANS(M982))*N975)-(COS(RADIANS(M982))*O975))*PI()/MEDIAN(U975:V979,P975:Q979)</f>
        <v>-4.7123889803846897</v>
      </c>
      <c r="E1016" s="323" t="e">
        <f>(C1016*PI()-N1016*(G1016+C978))/PI()</f>
        <v>#N/A</v>
      </c>
      <c r="F1016" s="323" t="e">
        <f>E1016-2*O975*COS(RADIANS(M982))</f>
        <v>#N/A</v>
      </c>
      <c r="G1016" s="325" t="e">
        <f>ROUND(VLOOKUP(M1016,R975:V979,4,FALSE),)</f>
        <v>#N/A</v>
      </c>
      <c r="H1016" s="325" t="e">
        <f>ROUND(VLOOKUP(O1016,M975:Q979,4,FALSE),)</f>
        <v>#N/A</v>
      </c>
      <c r="I1016" s="325" t="e">
        <f>ROUND(VLOOKUP(O1016,M975:Q979,5,FALSE),)</f>
        <v>#N/A</v>
      </c>
      <c r="J1016" s="325" t="e">
        <f>ROUND(VLOOKUP(Q1016,M975:Q979,4,FALSE),)</f>
        <v>#N/A</v>
      </c>
      <c r="K1016" s="325" t="e">
        <f>ROUND(VLOOKUP(Q1016,M975:Q979,5,FALSE),)</f>
        <v>#N/A</v>
      </c>
      <c r="L1016" s="620">
        <f t="shared" si="143"/>
        <v>-1.5707963267948966</v>
      </c>
      <c r="M1016" s="623">
        <f t="shared" si="147"/>
        <v>0</v>
      </c>
      <c r="N1016" s="621" t="e">
        <f>ROUND(HLOOKUP(M1016,N981:R982,2,FALSE),)</f>
        <v>#N/A</v>
      </c>
      <c r="O1016" s="623">
        <f t="shared" si="148"/>
        <v>0</v>
      </c>
      <c r="P1016" s="622" t="e">
        <f>PI()*(F1016*(J1016+C978)-E1016*(K1016+C978))/(((J1016+C978)*(I1016+C978))-((H1016+C978)*(K1016+C978)))</f>
        <v>#N/A</v>
      </c>
      <c r="Q1016" s="623">
        <f t="shared" si="149"/>
        <v>0</v>
      </c>
      <c r="R1016" s="622" t="e">
        <f>(E1016*PI()-P1016*(H1016+C978))/(J1016+C978)</f>
        <v>#N/A</v>
      </c>
      <c r="S1016" s="625">
        <f t="shared" si="150"/>
        <v>360</v>
      </c>
      <c r="T1016" s="236" t="e">
        <f t="shared" si="144"/>
        <v>#N/A</v>
      </c>
      <c r="U1016" s="195" t="e">
        <f t="shared" si="145"/>
        <v>#N/A</v>
      </c>
      <c r="V1016" s="195" t="e">
        <f t="shared" si="146"/>
        <v>#N/A</v>
      </c>
      <c r="W1016" s="185"/>
      <c r="X1016" s="141"/>
      <c r="Z1016" s="187"/>
      <c r="AA1016" s="187"/>
    </row>
    <row r="1017" spans="1:27" s="186" customFormat="1" ht="15" customHeight="1">
      <c r="A1017" s="215"/>
      <c r="B1017" s="168" t="s">
        <v>1054</v>
      </c>
      <c r="C1017" s="298">
        <f>C1016+2*SIN(RADIANS(M982))*(N975+C978)</f>
        <v>0</v>
      </c>
      <c r="D1017" s="323">
        <f>(C1017-(SIN(RADIANS(M982))*N975)-(COS(RADIANS(M982))*O975))*PI()/MEDIAN(U975:V979,P975:Q979)</f>
        <v>-4.7123889803846897</v>
      </c>
      <c r="E1017" s="323" t="e">
        <f>(C1017*PI()-N1017*(G1017+C978))/PI()</f>
        <v>#N/A</v>
      </c>
      <c r="F1017" s="323" t="e">
        <f>E1017-2*O975*COS(RADIANS(M982))</f>
        <v>#N/A</v>
      </c>
      <c r="G1017" s="325" t="e">
        <f>ROUND(VLOOKUP(M1017,R975:V979,4,FALSE),)</f>
        <v>#N/A</v>
      </c>
      <c r="H1017" s="325" t="e">
        <f>ROUND(VLOOKUP(O1017,M975:Q979,4,FALSE),)</f>
        <v>#N/A</v>
      </c>
      <c r="I1017" s="325" t="e">
        <f>ROUND(VLOOKUP(O1017,M975:Q979,5,FALSE),)</f>
        <v>#N/A</v>
      </c>
      <c r="J1017" s="325" t="e">
        <f>ROUND(VLOOKUP(Q1017,M975:Q979,4,FALSE),)</f>
        <v>#N/A</v>
      </c>
      <c r="K1017" s="325" t="e">
        <f>ROUND(VLOOKUP(Q1017,M975:Q979,5,FALSE),)</f>
        <v>#N/A</v>
      </c>
      <c r="L1017" s="620">
        <f t="shared" si="143"/>
        <v>-1.5707963267948966</v>
      </c>
      <c r="M1017" s="623">
        <f t="shared" si="147"/>
        <v>0</v>
      </c>
      <c r="N1017" s="621" t="e">
        <f>ROUND(HLOOKUP(M1017,N981:R982,2,FALSE),)</f>
        <v>#N/A</v>
      </c>
      <c r="O1017" s="623">
        <f t="shared" si="148"/>
        <v>0</v>
      </c>
      <c r="P1017" s="622" t="e">
        <f>PI()*(F1017*(J1017+C978)-E1017*(K1017+C978))/(((J1017+C978)*(I1017+C978))-((H1017+C978)*(K1017+C978)))</f>
        <v>#N/A</v>
      </c>
      <c r="Q1017" s="623">
        <f t="shared" si="149"/>
        <v>0</v>
      </c>
      <c r="R1017" s="622" t="e">
        <f>(E1017*PI()-P1017*(H1017+C978))/(J1017+C978)</f>
        <v>#N/A</v>
      </c>
      <c r="S1017" s="625">
        <f t="shared" si="150"/>
        <v>360</v>
      </c>
      <c r="T1017" s="236" t="e">
        <f t="shared" si="144"/>
        <v>#N/A</v>
      </c>
      <c r="U1017" s="195" t="e">
        <f t="shared" si="145"/>
        <v>#N/A</v>
      </c>
      <c r="V1017" s="195" t="e">
        <f t="shared" si="146"/>
        <v>#N/A</v>
      </c>
      <c r="W1017" s="185"/>
      <c r="X1017" s="141"/>
      <c r="Z1017" s="187"/>
      <c r="AA1017" s="187"/>
    </row>
    <row r="1018" spans="1:27" s="186" customFormat="1" ht="15" customHeight="1">
      <c r="A1018" s="215"/>
      <c r="B1018" s="168" t="s">
        <v>1055</v>
      </c>
      <c r="C1018" s="298">
        <f>C1017+2*SIN(RADIANS(M982))*(N975+C978)</f>
        <v>0</v>
      </c>
      <c r="D1018" s="323">
        <f>(C1018-(SIN(RADIANS(M982))*N975)-(COS(RADIANS(M982))*O975))*PI()/MEDIAN(U975:V979,P975:Q979)</f>
        <v>-4.7123889803846897</v>
      </c>
      <c r="E1018" s="323" t="e">
        <f>(C1018*PI()-N1018*(G1018+C978))/PI()</f>
        <v>#N/A</v>
      </c>
      <c r="F1018" s="323" t="e">
        <f>E1018-2*O975*COS(RADIANS(M982))</f>
        <v>#N/A</v>
      </c>
      <c r="G1018" s="325" t="e">
        <f>ROUND(VLOOKUP(M1018,R975:V979,4,FALSE),)</f>
        <v>#N/A</v>
      </c>
      <c r="H1018" s="325" t="e">
        <f>ROUND(VLOOKUP(O1018,M975:Q979,4,FALSE),)</f>
        <v>#N/A</v>
      </c>
      <c r="I1018" s="325" t="e">
        <f>ROUND(VLOOKUP(O1018,M975:Q979,5,FALSE),)</f>
        <v>#N/A</v>
      </c>
      <c r="J1018" s="325" t="e">
        <f>ROUND(VLOOKUP(Q1018,M975:Q979,4,FALSE),)</f>
        <v>#N/A</v>
      </c>
      <c r="K1018" s="325" t="e">
        <f>ROUND(VLOOKUP(Q1018,M975:Q979,5,FALSE),)</f>
        <v>#N/A</v>
      </c>
      <c r="L1018" s="620">
        <f t="shared" si="143"/>
        <v>-1.5707963267948966</v>
      </c>
      <c r="M1018" s="623">
        <f t="shared" si="147"/>
        <v>0</v>
      </c>
      <c r="N1018" s="621" t="e">
        <f>ROUND(HLOOKUP(M1018,N981:R982,2,FALSE),)</f>
        <v>#N/A</v>
      </c>
      <c r="O1018" s="623">
        <f t="shared" si="148"/>
        <v>0</v>
      </c>
      <c r="P1018" s="622" t="e">
        <f>PI()*(F1018*(J1018+C978)-E1018*(K1018+C978))/(((J1018+C978)*(I1018+C978))-((H1018+C978)*(K1018+C978)))</f>
        <v>#N/A</v>
      </c>
      <c r="Q1018" s="623">
        <f t="shared" si="149"/>
        <v>0</v>
      </c>
      <c r="R1018" s="622" t="e">
        <f>(E1018*PI()-P1018*(H1018+C978))/(J1018+C978)</f>
        <v>#N/A</v>
      </c>
      <c r="S1018" s="625">
        <f t="shared" si="150"/>
        <v>360</v>
      </c>
      <c r="T1018" s="236" t="e">
        <f t="shared" si="144"/>
        <v>#N/A</v>
      </c>
      <c r="U1018" s="195" t="e">
        <f t="shared" si="145"/>
        <v>#N/A</v>
      </c>
      <c r="V1018" s="195" t="e">
        <f t="shared" si="146"/>
        <v>#N/A</v>
      </c>
      <c r="W1018" s="185"/>
      <c r="X1018" s="141"/>
      <c r="Z1018" s="187"/>
      <c r="AA1018" s="187"/>
    </row>
    <row r="1019" spans="1:27" s="186" customFormat="1" ht="15" customHeight="1">
      <c r="A1019" s="215"/>
      <c r="B1019" s="168" t="s">
        <v>1056</v>
      </c>
      <c r="C1019" s="298">
        <f>C1018+2*SIN(RADIANS(M982))*(N975+C978)</f>
        <v>0</v>
      </c>
      <c r="D1019" s="323">
        <f>(C1019-(SIN(RADIANS(M982))*N975)-(COS(RADIANS(M982))*O975))*PI()/MEDIAN(U975:V979,P975:Q979)</f>
        <v>-4.7123889803846897</v>
      </c>
      <c r="E1019" s="323" t="e">
        <f>(C1019*PI()-N1019*(G1019+C978))/PI()</f>
        <v>#N/A</v>
      </c>
      <c r="F1019" s="323" t="e">
        <f>E1019-2*O975*COS(RADIANS(M982))</f>
        <v>#N/A</v>
      </c>
      <c r="G1019" s="325" t="e">
        <f>ROUND(VLOOKUP(M1019,R975:V979,4,FALSE),)</f>
        <v>#N/A</v>
      </c>
      <c r="H1019" s="325" t="e">
        <f>ROUND(VLOOKUP(O1019,M975:Q979,4,FALSE),)</f>
        <v>#N/A</v>
      </c>
      <c r="I1019" s="325" t="e">
        <f>ROUND(VLOOKUP(O1019,M975:Q979,5,FALSE),)</f>
        <v>#N/A</v>
      </c>
      <c r="J1019" s="325" t="e">
        <f>ROUND(VLOOKUP(Q1019,M975:Q979,4,FALSE),)</f>
        <v>#N/A</v>
      </c>
      <c r="K1019" s="325" t="e">
        <f>ROUND(VLOOKUP(Q1019,M975:Q979,5,FALSE),)</f>
        <v>#N/A</v>
      </c>
      <c r="L1019" s="620">
        <f t="shared" si="143"/>
        <v>-1.5707963267948966</v>
      </c>
      <c r="M1019" s="623">
        <f t="shared" si="147"/>
        <v>0</v>
      </c>
      <c r="N1019" s="621" t="e">
        <f>ROUND(HLOOKUP(M1019,N981:R982,2,FALSE),)</f>
        <v>#N/A</v>
      </c>
      <c r="O1019" s="623">
        <f t="shared" si="148"/>
        <v>0</v>
      </c>
      <c r="P1019" s="622" t="e">
        <f>PI()*(F1019*(J1019+C978)-E1019*(K1019+C978))/(((J1019+C978)*(I1019+C978))-((H1019+C978)*(K1019+C978)))</f>
        <v>#N/A</v>
      </c>
      <c r="Q1019" s="623">
        <f t="shared" si="149"/>
        <v>0</v>
      </c>
      <c r="R1019" s="622" t="e">
        <f>(E1019*PI()-P1019*(H1019+C978))/(J1019+C978)</f>
        <v>#N/A</v>
      </c>
      <c r="S1019" s="625">
        <f t="shared" si="150"/>
        <v>360</v>
      </c>
      <c r="T1019" s="236" t="e">
        <f t="shared" si="144"/>
        <v>#N/A</v>
      </c>
      <c r="U1019" s="195" t="e">
        <f t="shared" si="145"/>
        <v>#N/A</v>
      </c>
      <c r="V1019" s="195" t="e">
        <f t="shared" si="146"/>
        <v>#N/A</v>
      </c>
      <c r="W1019" s="185"/>
      <c r="X1019" s="141"/>
      <c r="Z1019" s="187"/>
      <c r="AA1019" s="187"/>
    </row>
    <row r="1020" spans="1:27" s="186" customFormat="1" ht="15" customHeight="1">
      <c r="A1020" s="215"/>
      <c r="B1020" s="168" t="s">
        <v>1057</v>
      </c>
      <c r="C1020" s="298">
        <f>C1019+2*SIN(RADIANS(M982))*(N975+C978)</f>
        <v>0</v>
      </c>
      <c r="D1020" s="323">
        <f>(C1020-(SIN(RADIANS(M982))*N975)-(COS(RADIANS(M982))*O975))*PI()/MEDIAN(U975:V979,P975:Q979)</f>
        <v>-4.7123889803846897</v>
      </c>
      <c r="E1020" s="323" t="e">
        <f>(C1020*PI()-N1020*(G1020+C978))/PI()</f>
        <v>#N/A</v>
      </c>
      <c r="F1020" s="323" t="e">
        <f>E1020-2*O975*COS(RADIANS(M982))</f>
        <v>#N/A</v>
      </c>
      <c r="G1020" s="325" t="e">
        <f>ROUND(VLOOKUP(M1020,R975:V979,4,FALSE),)</f>
        <v>#N/A</v>
      </c>
      <c r="H1020" s="325" t="e">
        <f>ROUND(VLOOKUP(O1020,M975:Q979,4,FALSE),)</f>
        <v>#N/A</v>
      </c>
      <c r="I1020" s="325" t="e">
        <f>ROUND(VLOOKUP(O1020,M975:Q979,5,FALSE),)</f>
        <v>#N/A</v>
      </c>
      <c r="J1020" s="325" t="e">
        <f>ROUND(VLOOKUP(Q1020,M975:Q979,4,FALSE),)</f>
        <v>#N/A</v>
      </c>
      <c r="K1020" s="325" t="e">
        <f>ROUND(VLOOKUP(Q1020,M975:Q979,5,FALSE),)</f>
        <v>#N/A</v>
      </c>
      <c r="L1020" s="620">
        <f t="shared" si="143"/>
        <v>-1.5707963267948966</v>
      </c>
      <c r="M1020" s="623">
        <f t="shared" si="147"/>
        <v>0</v>
      </c>
      <c r="N1020" s="621" t="e">
        <f>ROUND(HLOOKUP(M1020,N981:R982,2,FALSE),)</f>
        <v>#N/A</v>
      </c>
      <c r="O1020" s="623">
        <f t="shared" si="148"/>
        <v>0</v>
      </c>
      <c r="P1020" s="622" t="e">
        <f>PI()*(F1020*(J1020+C978)-E1020*(K1020+C978))/(((J1020+C978)*(I1020+C978))-((H1020+C978)*(K1020+C978)))</f>
        <v>#N/A</v>
      </c>
      <c r="Q1020" s="623">
        <f t="shared" si="149"/>
        <v>0</v>
      </c>
      <c r="R1020" s="622" t="e">
        <f>(E1020*PI()-P1020*(H1020+C978))/(J1020+C978)</f>
        <v>#N/A</v>
      </c>
      <c r="S1020" s="625">
        <f t="shared" si="150"/>
        <v>360</v>
      </c>
      <c r="T1020" s="236" t="e">
        <f t="shared" si="144"/>
        <v>#N/A</v>
      </c>
      <c r="U1020" s="195" t="e">
        <f t="shared" si="145"/>
        <v>#N/A</v>
      </c>
      <c r="V1020" s="195" t="e">
        <f t="shared" si="146"/>
        <v>#N/A</v>
      </c>
      <c r="W1020" s="185"/>
      <c r="X1020" s="141"/>
      <c r="Z1020" s="187"/>
      <c r="AA1020" s="187"/>
    </row>
    <row r="1021" spans="1:27" s="186" customFormat="1" ht="15" customHeight="1">
      <c r="A1021" s="215"/>
      <c r="B1021" s="168" t="s">
        <v>1058</v>
      </c>
      <c r="C1021" s="298">
        <f>C1020+2*SIN(RADIANS(M982))*(N975+C978)</f>
        <v>0</v>
      </c>
      <c r="D1021" s="323">
        <f>(C1021-(SIN(RADIANS(M982))*N975)-(COS(RADIANS(M982))*O975))*PI()/MEDIAN(U975:V979,P975:Q979)</f>
        <v>-4.7123889803846897</v>
      </c>
      <c r="E1021" s="323" t="e">
        <f>(C1021*PI()-N1021*(G1021+C978))/PI()</f>
        <v>#N/A</v>
      </c>
      <c r="F1021" s="323" t="e">
        <f>E1021-2*O975*COS(RADIANS(M982))</f>
        <v>#N/A</v>
      </c>
      <c r="G1021" s="325" t="e">
        <f>ROUND(VLOOKUP(M1021,R975:V979,4,FALSE),)</f>
        <v>#N/A</v>
      </c>
      <c r="H1021" s="325" t="e">
        <f>ROUND(VLOOKUP(O1021,M975:Q979,4,FALSE),)</f>
        <v>#N/A</v>
      </c>
      <c r="I1021" s="325" t="e">
        <f>ROUND(VLOOKUP(O1021,M975:Q979,5,FALSE),)</f>
        <v>#N/A</v>
      </c>
      <c r="J1021" s="325" t="e">
        <f>ROUND(VLOOKUP(Q1021,M975:Q979,4,FALSE),)</f>
        <v>#N/A</v>
      </c>
      <c r="K1021" s="325" t="e">
        <f>ROUND(VLOOKUP(Q1021,M975:Q979,5,FALSE),)</f>
        <v>#N/A</v>
      </c>
      <c r="L1021" s="620">
        <f t="shared" si="143"/>
        <v>-1.5707963267948966</v>
      </c>
      <c r="M1021" s="623">
        <f t="shared" si="147"/>
        <v>0</v>
      </c>
      <c r="N1021" s="621" t="e">
        <f>ROUND(HLOOKUP(M1021,N981:R982,2,FALSE),)</f>
        <v>#N/A</v>
      </c>
      <c r="O1021" s="623">
        <f t="shared" si="148"/>
        <v>0</v>
      </c>
      <c r="P1021" s="622" t="e">
        <f>PI()*(F1021*(J1021+C978)-E1021*(K1021+C978))/(((J1021+C978)*(I1021+C978))-((H1021+C978)*(K1021+C978)))</f>
        <v>#N/A</v>
      </c>
      <c r="Q1021" s="623">
        <f t="shared" si="149"/>
        <v>0</v>
      </c>
      <c r="R1021" s="622" t="e">
        <f>(E1021*PI()-P1021*(H1021+C978))/(J1021+C978)</f>
        <v>#N/A</v>
      </c>
      <c r="S1021" s="625">
        <f t="shared" si="150"/>
        <v>360</v>
      </c>
      <c r="T1021" s="236" t="e">
        <f t="shared" si="144"/>
        <v>#N/A</v>
      </c>
      <c r="U1021" s="195" t="e">
        <f t="shared" si="145"/>
        <v>#N/A</v>
      </c>
      <c r="V1021" s="195" t="e">
        <f t="shared" si="146"/>
        <v>#N/A</v>
      </c>
      <c r="W1021" s="185"/>
      <c r="X1021" s="141"/>
      <c r="Z1021" s="187"/>
      <c r="AA1021" s="187"/>
    </row>
    <row r="1022" spans="1:27" s="186" customFormat="1" ht="15" customHeight="1">
      <c r="A1022" s="215"/>
      <c r="B1022" s="168" t="s">
        <v>1059</v>
      </c>
      <c r="C1022" s="298">
        <f>C1021+2*SIN(RADIANS(M982))*(N975+C978)</f>
        <v>0</v>
      </c>
      <c r="D1022" s="323">
        <f>(C1022-(SIN(RADIANS(M982))*N975)-(COS(RADIANS(M982))*O975))*PI()/MEDIAN(U975:V979,P975:Q979)</f>
        <v>-4.7123889803846897</v>
      </c>
      <c r="E1022" s="323" t="e">
        <f>(C1022*PI()-N1022*(G1022+C978))/PI()</f>
        <v>#N/A</v>
      </c>
      <c r="F1022" s="323" t="e">
        <f>E1022-2*O975*COS(RADIANS(M982))</f>
        <v>#N/A</v>
      </c>
      <c r="G1022" s="325" t="e">
        <f>ROUND(VLOOKUP(M1022,R975:V979,4,FALSE),)</f>
        <v>#N/A</v>
      </c>
      <c r="H1022" s="325" t="e">
        <f>ROUND(VLOOKUP(O1022,M975:Q979,4,FALSE),)</f>
        <v>#N/A</v>
      </c>
      <c r="I1022" s="325" t="e">
        <f>ROUND(VLOOKUP(O1022,M975:Q979,5,FALSE),)</f>
        <v>#N/A</v>
      </c>
      <c r="J1022" s="325" t="e">
        <f>ROUND(VLOOKUP(Q1022,M975:Q979,4,FALSE),)</f>
        <v>#N/A</v>
      </c>
      <c r="K1022" s="325" t="e">
        <f>ROUND(VLOOKUP(Q1022,M975:Q979,5,FALSE),)</f>
        <v>#N/A</v>
      </c>
      <c r="L1022" s="620">
        <f t="shared" si="143"/>
        <v>-1.5707963267948966</v>
      </c>
      <c r="M1022" s="623">
        <f t="shared" si="147"/>
        <v>0</v>
      </c>
      <c r="N1022" s="621" t="e">
        <f>ROUND(HLOOKUP(M1022,N981:R982,2,FALSE),)</f>
        <v>#N/A</v>
      </c>
      <c r="O1022" s="623">
        <f t="shared" si="148"/>
        <v>0</v>
      </c>
      <c r="P1022" s="622" t="e">
        <f>PI()*(F1022*(J1022+C978)-E1022*(K1022+C978))/(((J1022+C978)*(I1022+C978))-((H1022+C978)*(K1022+C978)))</f>
        <v>#N/A</v>
      </c>
      <c r="Q1022" s="623">
        <f t="shared" si="149"/>
        <v>0</v>
      </c>
      <c r="R1022" s="622" t="e">
        <f>(E1022*PI()-P1022*(H1022+C978))/(J1022+C978)</f>
        <v>#N/A</v>
      </c>
      <c r="S1022" s="625">
        <f t="shared" si="150"/>
        <v>360</v>
      </c>
      <c r="T1022" s="236" t="e">
        <f t="shared" si="144"/>
        <v>#N/A</v>
      </c>
      <c r="U1022" s="195" t="e">
        <f t="shared" si="145"/>
        <v>#N/A</v>
      </c>
      <c r="V1022" s="195" t="e">
        <f t="shared" si="146"/>
        <v>#N/A</v>
      </c>
      <c r="W1022" s="185"/>
      <c r="X1022" s="141"/>
      <c r="Z1022" s="187"/>
      <c r="AA1022" s="187"/>
    </row>
    <row r="1023" spans="1:27" s="186" customFormat="1" ht="15" customHeight="1">
      <c r="A1023" s="215"/>
      <c r="B1023" s="168" t="s">
        <v>1060</v>
      </c>
      <c r="C1023" s="298">
        <f>C1022+2*SIN(RADIANS(M982))*(N975+C978)</f>
        <v>0</v>
      </c>
      <c r="D1023" s="323">
        <f>(C1023-(SIN(RADIANS(M982))*N975)-(COS(RADIANS(M982))*O975))*PI()/MEDIAN(U975:V979,P975:Q979)</f>
        <v>-4.7123889803846897</v>
      </c>
      <c r="E1023" s="323" t="e">
        <f>(C1023*PI()-N1023*(G1023+C978))/PI()</f>
        <v>#N/A</v>
      </c>
      <c r="F1023" s="323" t="e">
        <f>E1023-2*O975*COS(RADIANS(M982))</f>
        <v>#N/A</v>
      </c>
      <c r="G1023" s="325" t="e">
        <f>ROUND(VLOOKUP(M1023,R975:V979,4,FALSE),)</f>
        <v>#N/A</v>
      </c>
      <c r="H1023" s="325" t="e">
        <f>ROUND(VLOOKUP(O1023,M975:Q979,4,FALSE),)</f>
        <v>#N/A</v>
      </c>
      <c r="I1023" s="325" t="e">
        <f>ROUND(VLOOKUP(O1023,M975:Q979,5,FALSE),)</f>
        <v>#N/A</v>
      </c>
      <c r="J1023" s="325" t="e">
        <f>ROUND(VLOOKUP(Q1023,M975:Q979,4,FALSE),)</f>
        <v>#N/A</v>
      </c>
      <c r="K1023" s="325" t="e">
        <f>ROUND(VLOOKUP(Q1023,M975:Q979,5,FALSE),)</f>
        <v>#N/A</v>
      </c>
      <c r="L1023" s="620">
        <f t="shared" si="143"/>
        <v>-1.5707963267948966</v>
      </c>
      <c r="M1023" s="623">
        <f t="shared" si="147"/>
        <v>0</v>
      </c>
      <c r="N1023" s="621" t="e">
        <f>ROUND(HLOOKUP(M1023,N981:R982,2,FALSE),)</f>
        <v>#N/A</v>
      </c>
      <c r="O1023" s="623">
        <f t="shared" si="148"/>
        <v>0</v>
      </c>
      <c r="P1023" s="622" t="e">
        <f>PI()*(F1023*(J1023+C978)-E1023*(K1023+C978))/(((J1023+C978)*(I1023+C978))-((H1023+C978)*(K1023+C978)))</f>
        <v>#N/A</v>
      </c>
      <c r="Q1023" s="623">
        <f t="shared" si="149"/>
        <v>0</v>
      </c>
      <c r="R1023" s="622" t="e">
        <f>(E1023*PI()-P1023*(H1023+C978))/(J1023+C978)</f>
        <v>#N/A</v>
      </c>
      <c r="S1023" s="625">
        <f t="shared" si="150"/>
        <v>360</v>
      </c>
      <c r="T1023" s="236" t="e">
        <f t="shared" si="144"/>
        <v>#N/A</v>
      </c>
      <c r="U1023" s="195" t="e">
        <f t="shared" si="145"/>
        <v>#N/A</v>
      </c>
      <c r="V1023" s="195" t="e">
        <f t="shared" si="146"/>
        <v>#N/A</v>
      </c>
      <c r="W1023" s="185"/>
      <c r="X1023" s="141"/>
      <c r="Z1023" s="187"/>
      <c r="AA1023" s="187"/>
    </row>
    <row r="1024" spans="1:27" s="186" customFormat="1" ht="15" customHeight="1">
      <c r="A1024" s="215"/>
      <c r="B1024" s="168" t="s">
        <v>1061</v>
      </c>
      <c r="C1024" s="298">
        <f>C1023+2*SIN(RADIANS(M982))*(N975+C978)</f>
        <v>0</v>
      </c>
      <c r="D1024" s="323">
        <f>(C1024-(SIN(RADIANS(M982))*N975)-(COS(RADIANS(M982))*O975))*PI()/MEDIAN(U975:V979,P975:Q979)</f>
        <v>-4.7123889803846897</v>
      </c>
      <c r="E1024" s="323" t="e">
        <f>(C1024*PI()-N1024*(G1024+C978))/PI()</f>
        <v>#N/A</v>
      </c>
      <c r="F1024" s="323" t="e">
        <f>E1024-2*O975*COS(RADIANS(M982))</f>
        <v>#N/A</v>
      </c>
      <c r="G1024" s="325" t="e">
        <f>ROUND(VLOOKUP(M1024,R975:V979,4,FALSE),)</f>
        <v>#N/A</v>
      </c>
      <c r="H1024" s="325" t="e">
        <f>ROUND(VLOOKUP(O1024,M975:Q979,4,FALSE),)</f>
        <v>#N/A</v>
      </c>
      <c r="I1024" s="325" t="e">
        <f>ROUND(VLOOKUP(O1024,M975:Q979,5,FALSE),)</f>
        <v>#N/A</v>
      </c>
      <c r="J1024" s="325" t="e">
        <f>ROUND(VLOOKUP(Q1024,M975:Q979,4,FALSE),)</f>
        <v>#N/A</v>
      </c>
      <c r="K1024" s="325" t="e">
        <f>ROUND(VLOOKUP(Q1024,M975:Q979,5,FALSE),)</f>
        <v>#N/A</v>
      </c>
      <c r="L1024" s="620">
        <f t="shared" si="143"/>
        <v>-1.5707963267948966</v>
      </c>
      <c r="M1024" s="623">
        <f t="shared" si="147"/>
        <v>0</v>
      </c>
      <c r="N1024" s="621" t="e">
        <f>ROUND(HLOOKUP(M1024,N981:R982,2,FALSE),)</f>
        <v>#N/A</v>
      </c>
      <c r="O1024" s="623">
        <f t="shared" si="148"/>
        <v>0</v>
      </c>
      <c r="P1024" s="622" t="e">
        <f>PI()*(F1024*(J1024+C978)-E1024*(K1024+C978))/(((J1024+C978)*(I1024+C978))-((H1024+C978)*(K1024+C978)))</f>
        <v>#N/A</v>
      </c>
      <c r="Q1024" s="623">
        <f t="shared" si="149"/>
        <v>0</v>
      </c>
      <c r="R1024" s="622" t="e">
        <f>(E1024*PI()-P1024*(H1024+C978))/(J1024+C978)</f>
        <v>#N/A</v>
      </c>
      <c r="S1024" s="625">
        <f t="shared" si="150"/>
        <v>360</v>
      </c>
      <c r="T1024" s="236" t="e">
        <f t="shared" si="144"/>
        <v>#N/A</v>
      </c>
      <c r="U1024" s="195" t="e">
        <f t="shared" si="145"/>
        <v>#N/A</v>
      </c>
      <c r="V1024" s="195" t="e">
        <f t="shared" si="146"/>
        <v>#N/A</v>
      </c>
      <c r="W1024" s="185"/>
      <c r="X1024" s="141"/>
      <c r="Z1024" s="187"/>
      <c r="AA1024" s="187"/>
    </row>
    <row r="1025" spans="1:27" s="186" customFormat="1" ht="15" customHeight="1">
      <c r="A1025" s="215"/>
      <c r="B1025" s="168" t="s">
        <v>1062</v>
      </c>
      <c r="C1025" s="298">
        <f>C1024+2*SIN(RADIANS(M982))*(N975+C978)</f>
        <v>0</v>
      </c>
      <c r="D1025" s="323">
        <f>(C1025-(SIN(RADIANS(M982))*N975)-(COS(RADIANS(M982))*O975))*PI()/MEDIAN(U975:V979,P975:Q979)</f>
        <v>-4.7123889803846897</v>
      </c>
      <c r="E1025" s="323" t="e">
        <f>(C1025*PI()-N1025*(G1025+C978))/PI()</f>
        <v>#N/A</v>
      </c>
      <c r="F1025" s="323" t="e">
        <f>E1025-2*O975*COS(RADIANS(M982))</f>
        <v>#N/A</v>
      </c>
      <c r="G1025" s="325" t="e">
        <f>ROUND(VLOOKUP(M1025,R975:V979,4,FALSE),)</f>
        <v>#N/A</v>
      </c>
      <c r="H1025" s="325" t="e">
        <f>ROUND(VLOOKUP(O1025,M975:Q979,4,FALSE),)</f>
        <v>#N/A</v>
      </c>
      <c r="I1025" s="325" t="e">
        <f>ROUND(VLOOKUP(O1025,M975:Q979,5,FALSE),)</f>
        <v>#N/A</v>
      </c>
      <c r="J1025" s="325" t="e">
        <f>ROUND(VLOOKUP(Q1025,M975:Q979,4,FALSE),)</f>
        <v>#N/A</v>
      </c>
      <c r="K1025" s="325" t="e">
        <f>ROUND(VLOOKUP(Q1025,M975:Q979,5,FALSE),)</f>
        <v>#N/A</v>
      </c>
      <c r="L1025" s="620">
        <f t="shared" si="143"/>
        <v>-1.5707963267948966</v>
      </c>
      <c r="M1025" s="623">
        <f t="shared" si="147"/>
        <v>0</v>
      </c>
      <c r="N1025" s="621" t="e">
        <f>ROUND(HLOOKUP(M1025,N981:R982,2,FALSE),)</f>
        <v>#N/A</v>
      </c>
      <c r="O1025" s="623">
        <f t="shared" si="148"/>
        <v>0</v>
      </c>
      <c r="P1025" s="622" t="e">
        <f>PI()*(F1025*(J1025+C978)-E1025*(K1025+C978))/(((J1025+C978)*(I1025+C978))-((H1025+C978)*(K1025+C978)))</f>
        <v>#N/A</v>
      </c>
      <c r="Q1025" s="623">
        <f t="shared" si="149"/>
        <v>0</v>
      </c>
      <c r="R1025" s="622" t="e">
        <f>(E1025*PI()-P1025*(H1025+C978))/(J1025+C978)</f>
        <v>#N/A</v>
      </c>
      <c r="S1025" s="625">
        <f t="shared" si="150"/>
        <v>360</v>
      </c>
      <c r="T1025" s="236" t="e">
        <f t="shared" si="144"/>
        <v>#N/A</v>
      </c>
      <c r="U1025" s="195" t="e">
        <f t="shared" si="145"/>
        <v>#N/A</v>
      </c>
      <c r="V1025" s="195" t="e">
        <f t="shared" si="146"/>
        <v>#N/A</v>
      </c>
      <c r="W1025" s="185"/>
      <c r="X1025" s="141"/>
      <c r="Z1025" s="187"/>
      <c r="AA1025" s="187"/>
    </row>
    <row r="1026" spans="1:27" s="186" customFormat="1" ht="15" customHeight="1">
      <c r="A1026" s="215"/>
      <c r="B1026" s="168" t="s">
        <v>1063</v>
      </c>
      <c r="C1026" s="298">
        <f>C1025+2*SIN(RADIANS(M982))*(N975+C978)</f>
        <v>0</v>
      </c>
      <c r="D1026" s="323">
        <f>(C1026-(SIN(RADIANS(M982))*N975)-(COS(RADIANS(M982))*O975))*PI()/MEDIAN(U975:V979,P975:Q979)</f>
        <v>-4.7123889803846897</v>
      </c>
      <c r="E1026" s="323" t="e">
        <f>(C1026*PI()-N1026*(G1026+C978))/PI()</f>
        <v>#N/A</v>
      </c>
      <c r="F1026" s="323" t="e">
        <f>E1026-2*O975*COS(RADIANS(M982))</f>
        <v>#N/A</v>
      </c>
      <c r="G1026" s="325" t="e">
        <f>ROUND(VLOOKUP(M1026,R975:V979,4,FALSE),)</f>
        <v>#N/A</v>
      </c>
      <c r="H1026" s="325" t="e">
        <f>ROUND(VLOOKUP(O1026,M975:Q979,4,FALSE),)</f>
        <v>#N/A</v>
      </c>
      <c r="I1026" s="325" t="e">
        <f>ROUND(VLOOKUP(O1026,M975:Q979,5,FALSE),)</f>
        <v>#N/A</v>
      </c>
      <c r="J1026" s="325" t="e">
        <f>ROUND(VLOOKUP(Q1026,M975:Q979,4,FALSE),)</f>
        <v>#N/A</v>
      </c>
      <c r="K1026" s="325" t="e">
        <f>ROUND(VLOOKUP(Q1026,M975:Q979,5,FALSE),)</f>
        <v>#N/A</v>
      </c>
      <c r="L1026" s="620">
        <f t="shared" si="143"/>
        <v>-1.5707963267948966</v>
      </c>
      <c r="M1026" s="623">
        <f t="shared" si="147"/>
        <v>0</v>
      </c>
      <c r="N1026" s="621" t="e">
        <f>ROUND(HLOOKUP(M1026,N981:R982,2,FALSE),)</f>
        <v>#N/A</v>
      </c>
      <c r="O1026" s="623">
        <f t="shared" si="148"/>
        <v>0</v>
      </c>
      <c r="P1026" s="622" t="e">
        <f>PI()*(F1026*(J1026+C978)-E1026*(K1026+C978))/(((J1026+C978)*(I1026+C978))-((H1026+C978)*(K1026+C978)))</f>
        <v>#N/A</v>
      </c>
      <c r="Q1026" s="623">
        <f t="shared" si="149"/>
        <v>0</v>
      </c>
      <c r="R1026" s="622" t="e">
        <f>(E1026*PI()-P1026*(H1026+C978))/(J1026+C978)</f>
        <v>#N/A</v>
      </c>
      <c r="S1026" s="625">
        <f t="shared" si="150"/>
        <v>360</v>
      </c>
      <c r="T1026" s="236" t="e">
        <f t="shared" si="144"/>
        <v>#N/A</v>
      </c>
      <c r="U1026" s="195" t="e">
        <f t="shared" si="145"/>
        <v>#N/A</v>
      </c>
      <c r="V1026" s="195" t="e">
        <f t="shared" si="146"/>
        <v>#N/A</v>
      </c>
      <c r="W1026" s="185"/>
      <c r="X1026" s="141"/>
      <c r="Z1026" s="187"/>
      <c r="AA1026" s="187"/>
    </row>
    <row r="1027" spans="1:27" s="186" customFormat="1" ht="15" customHeight="1">
      <c r="A1027" s="215"/>
      <c r="B1027" s="168" t="s">
        <v>1064</v>
      </c>
      <c r="C1027" s="298">
        <f>C1026+2*SIN(RADIANS(M982))*(N975+C978)</f>
        <v>0</v>
      </c>
      <c r="D1027" s="323">
        <f>(C1027-(SIN(RADIANS(M982))*N975)-(COS(RADIANS(M982))*O975))*PI()/MEDIAN(U975:V979,P975:Q979)</f>
        <v>-4.7123889803846897</v>
      </c>
      <c r="E1027" s="323" t="e">
        <f>(C1027*PI()-N1027*(G1027+C978))/PI()</f>
        <v>#N/A</v>
      </c>
      <c r="F1027" s="323" t="e">
        <f>E1027-2*O975*COS(RADIANS(M982))</f>
        <v>#N/A</v>
      </c>
      <c r="G1027" s="325" t="e">
        <f>ROUND(VLOOKUP(M1027,R975:V979,4,FALSE),)</f>
        <v>#N/A</v>
      </c>
      <c r="H1027" s="325" t="e">
        <f>ROUND(VLOOKUP(O1027,M975:Q979,4,FALSE),)</f>
        <v>#N/A</v>
      </c>
      <c r="I1027" s="325" t="e">
        <f>ROUND(VLOOKUP(O1027,M975:Q979,5,FALSE),)</f>
        <v>#N/A</v>
      </c>
      <c r="J1027" s="325" t="e">
        <f>ROUND(VLOOKUP(Q1027,M975:Q979,4,FALSE),)</f>
        <v>#N/A</v>
      </c>
      <c r="K1027" s="325" t="e">
        <f>ROUND(VLOOKUP(Q1027,M975:Q979,5,FALSE),)</f>
        <v>#N/A</v>
      </c>
      <c r="L1027" s="620">
        <f t="shared" si="143"/>
        <v>-1.5707963267948966</v>
      </c>
      <c r="M1027" s="623">
        <f t="shared" si="147"/>
        <v>0</v>
      </c>
      <c r="N1027" s="621" t="e">
        <f>ROUND(HLOOKUP(M1027,N981:R982,2,FALSE),)</f>
        <v>#N/A</v>
      </c>
      <c r="O1027" s="623">
        <f t="shared" si="148"/>
        <v>0</v>
      </c>
      <c r="P1027" s="622" t="e">
        <f>PI()*(F1027*(J1027+C978)-E1027*(K1027+C978))/(((J1027+C978)*(I1027+C978))-((H1027+C978)*(K1027+C978)))</f>
        <v>#N/A</v>
      </c>
      <c r="Q1027" s="623">
        <f t="shared" si="149"/>
        <v>0</v>
      </c>
      <c r="R1027" s="622" t="e">
        <f>(E1027*PI()-P1027*(H1027+C978))/(J1027+C978)</f>
        <v>#N/A</v>
      </c>
      <c r="S1027" s="625">
        <f t="shared" si="150"/>
        <v>360</v>
      </c>
      <c r="T1027" s="236" t="e">
        <f t="shared" si="144"/>
        <v>#N/A</v>
      </c>
      <c r="U1027" s="195" t="e">
        <f t="shared" si="145"/>
        <v>#N/A</v>
      </c>
      <c r="V1027" s="195" t="e">
        <f t="shared" si="146"/>
        <v>#N/A</v>
      </c>
      <c r="W1027" s="185"/>
      <c r="X1027" s="141"/>
      <c r="Z1027" s="187"/>
      <c r="AA1027" s="187"/>
    </row>
    <row r="1028" spans="1:27" s="186" customFormat="1" ht="15" customHeight="1">
      <c r="A1028" s="215"/>
      <c r="B1028" s="168" t="s">
        <v>1065</v>
      </c>
      <c r="C1028" s="298">
        <f>C1027+2*SIN(RADIANS(M982))*(N975+C978)</f>
        <v>0</v>
      </c>
      <c r="D1028" s="323">
        <f>(C1028-(SIN(RADIANS(M982))*N975)-(COS(RADIANS(M982))*O975))*PI()/MEDIAN(U975:V979,P975:Q979)</f>
        <v>-4.7123889803846897</v>
      </c>
      <c r="E1028" s="323" t="e">
        <f>(C1028*PI()-N1028*(G1028+C978))/PI()</f>
        <v>#N/A</v>
      </c>
      <c r="F1028" s="323" t="e">
        <f>E1028-2*O975*COS(RADIANS(M982))</f>
        <v>#N/A</v>
      </c>
      <c r="G1028" s="325" t="e">
        <f>ROUND(VLOOKUP(M1028,R975:V979,4,FALSE),)</f>
        <v>#N/A</v>
      </c>
      <c r="H1028" s="325" t="e">
        <f>ROUND(VLOOKUP(O1028,M975:Q979,4,FALSE),)</f>
        <v>#N/A</v>
      </c>
      <c r="I1028" s="325" t="e">
        <f>ROUND(VLOOKUP(O1028,M975:Q979,5,FALSE),)</f>
        <v>#N/A</v>
      </c>
      <c r="J1028" s="325" t="e">
        <f>ROUND(VLOOKUP(Q1028,M975:Q979,4,FALSE),)</f>
        <v>#N/A</v>
      </c>
      <c r="K1028" s="325" t="e">
        <f>ROUND(VLOOKUP(Q1028,M975:Q979,5,FALSE),)</f>
        <v>#N/A</v>
      </c>
      <c r="L1028" s="620">
        <f t="shared" si="143"/>
        <v>-1.5707963267948966</v>
      </c>
      <c r="M1028" s="623">
        <f t="shared" si="147"/>
        <v>0</v>
      </c>
      <c r="N1028" s="621" t="e">
        <f>ROUND(HLOOKUP(M1028,N981:R982,2,FALSE),)</f>
        <v>#N/A</v>
      </c>
      <c r="O1028" s="623">
        <f t="shared" si="148"/>
        <v>0</v>
      </c>
      <c r="P1028" s="622" t="e">
        <f>PI()*(F1028*(J1028+C978)-E1028*(K1028+C978))/(((J1028+C978)*(I1028+C978))-((H1028+C978)*(K1028+C978)))</f>
        <v>#N/A</v>
      </c>
      <c r="Q1028" s="623">
        <f t="shared" si="149"/>
        <v>0</v>
      </c>
      <c r="R1028" s="622" t="e">
        <f>(E1028*PI()-P1028*(H1028+C978))/(J1028+C978)</f>
        <v>#N/A</v>
      </c>
      <c r="S1028" s="625">
        <f t="shared" si="150"/>
        <v>360</v>
      </c>
      <c r="T1028" s="236" t="e">
        <f t="shared" si="144"/>
        <v>#N/A</v>
      </c>
      <c r="U1028" s="195" t="e">
        <f t="shared" si="145"/>
        <v>#N/A</v>
      </c>
      <c r="V1028" s="195" t="e">
        <f t="shared" si="146"/>
        <v>#N/A</v>
      </c>
      <c r="W1028" s="185"/>
      <c r="X1028" s="141"/>
      <c r="Z1028" s="187"/>
      <c r="AA1028" s="187"/>
    </row>
    <row r="1029" spans="1:27" s="186" customFormat="1" ht="15" customHeight="1">
      <c r="A1029" s="215"/>
      <c r="B1029" s="168" t="s">
        <v>1066</v>
      </c>
      <c r="C1029" s="298">
        <f>C1028+2*SIN(RADIANS(M982))*(N975+C978)</f>
        <v>0</v>
      </c>
      <c r="D1029" s="323">
        <f>(C1029-(SIN(RADIANS(M982))*N975)-(COS(RADIANS(M982))*O975))*PI()/MEDIAN(U975:V979,P975:Q979)</f>
        <v>-4.7123889803846897</v>
      </c>
      <c r="E1029" s="323" t="e">
        <f>(C1029*PI()-N1029*(G1029+C978))/PI()</f>
        <v>#N/A</v>
      </c>
      <c r="F1029" s="323" t="e">
        <f>E1029-2*O975*COS(RADIANS(M982))</f>
        <v>#N/A</v>
      </c>
      <c r="G1029" s="325" t="e">
        <f>ROUND(VLOOKUP(M1029,R975:V979,4,FALSE),)</f>
        <v>#N/A</v>
      </c>
      <c r="H1029" s="325" t="e">
        <f>ROUND(VLOOKUP(O1029,M975:Q979,4,FALSE),)</f>
        <v>#N/A</v>
      </c>
      <c r="I1029" s="325" t="e">
        <f>ROUND(VLOOKUP(O1029,M975:Q979,5,FALSE),)</f>
        <v>#N/A</v>
      </c>
      <c r="J1029" s="325" t="e">
        <f>ROUND(VLOOKUP(Q1029,M975:Q979,4,FALSE),)</f>
        <v>#N/A</v>
      </c>
      <c r="K1029" s="325" t="e">
        <f>ROUND(VLOOKUP(Q1029,M975:Q979,5,FALSE),)</f>
        <v>#N/A</v>
      </c>
      <c r="L1029" s="620">
        <f t="shared" si="143"/>
        <v>-1.5707963267948966</v>
      </c>
      <c r="M1029" s="623">
        <f t="shared" si="147"/>
        <v>0</v>
      </c>
      <c r="N1029" s="621" t="e">
        <f>ROUND(HLOOKUP(M1029,N981:R982,2,FALSE),)</f>
        <v>#N/A</v>
      </c>
      <c r="O1029" s="623">
        <f t="shared" si="148"/>
        <v>0</v>
      </c>
      <c r="P1029" s="622" t="e">
        <f>PI()*(F1029*(J1029+C978)-E1029*(K1029+C978))/(((J1029+C978)*(I1029+C978))-((H1029+C978)*(K1029+C978)))</f>
        <v>#N/A</v>
      </c>
      <c r="Q1029" s="623">
        <f t="shared" si="149"/>
        <v>0</v>
      </c>
      <c r="R1029" s="622" t="e">
        <f>(E1029*PI()-P1029*(H1029+C978))/(J1029+C978)</f>
        <v>#N/A</v>
      </c>
      <c r="S1029" s="625">
        <f t="shared" si="150"/>
        <v>360</v>
      </c>
      <c r="T1029" s="236" t="e">
        <f t="shared" si="144"/>
        <v>#N/A</v>
      </c>
      <c r="U1029" s="195" t="e">
        <f t="shared" si="145"/>
        <v>#N/A</v>
      </c>
      <c r="V1029" s="195" t="e">
        <f t="shared" si="146"/>
        <v>#N/A</v>
      </c>
      <c r="W1029" s="185"/>
      <c r="X1029" s="141"/>
      <c r="Z1029" s="187"/>
      <c r="AA1029" s="187"/>
    </row>
    <row r="1030" spans="1:27" s="186" customFormat="1" ht="15" customHeight="1">
      <c r="A1030" s="215"/>
      <c r="B1030" s="168" t="s">
        <v>1067</v>
      </c>
      <c r="C1030" s="298">
        <f>C1029+2*SIN(RADIANS(M982))*(N975+C978)</f>
        <v>0</v>
      </c>
      <c r="D1030" s="323">
        <f>(C1030-(SIN(RADIANS(M982))*N975)-(COS(RADIANS(M982))*O975))*PI()/MEDIAN(U975:V979,P975:Q979)</f>
        <v>-4.7123889803846897</v>
      </c>
      <c r="E1030" s="323" t="e">
        <f>(C1030*PI()-N1030*(G1030+C978))/PI()</f>
        <v>#N/A</v>
      </c>
      <c r="F1030" s="323" t="e">
        <f>E1030-2*O975*COS(RADIANS(M982))</f>
        <v>#N/A</v>
      </c>
      <c r="G1030" s="325" t="e">
        <f>ROUND(VLOOKUP(M1030,R975:V979,4,FALSE),)</f>
        <v>#N/A</v>
      </c>
      <c r="H1030" s="325" t="e">
        <f>ROUND(VLOOKUP(O1030,M975:Q979,4,FALSE),)</f>
        <v>#N/A</v>
      </c>
      <c r="I1030" s="325" t="e">
        <f>ROUND(VLOOKUP(O1030,M975:Q979,5,FALSE),)</f>
        <v>#N/A</v>
      </c>
      <c r="J1030" s="325" t="e">
        <f>ROUND(VLOOKUP(Q1030,M975:Q979,4,FALSE),)</f>
        <v>#N/A</v>
      </c>
      <c r="K1030" s="325" t="e">
        <f>ROUND(VLOOKUP(Q1030,M975:Q979,5,FALSE),)</f>
        <v>#N/A</v>
      </c>
      <c r="L1030" s="620">
        <f t="shared" si="143"/>
        <v>-1.5707963267948966</v>
      </c>
      <c r="M1030" s="623">
        <f t="shared" si="147"/>
        <v>0</v>
      </c>
      <c r="N1030" s="621" t="e">
        <f>ROUND(HLOOKUP(M1030,N981:R982,2,FALSE),)</f>
        <v>#N/A</v>
      </c>
      <c r="O1030" s="623">
        <f t="shared" si="148"/>
        <v>0</v>
      </c>
      <c r="P1030" s="622" t="e">
        <f>PI()*(F1030*(J1030+C978)-E1030*(K1030+C978))/(((J1030+C978)*(I1030+C978))-((H1030+C978)*(K1030+C978)))</f>
        <v>#N/A</v>
      </c>
      <c r="Q1030" s="623">
        <f t="shared" si="149"/>
        <v>0</v>
      </c>
      <c r="R1030" s="622" t="e">
        <f>(E1030*PI()-P1030*(H1030+C978))/(J1030+C978)</f>
        <v>#N/A</v>
      </c>
      <c r="S1030" s="625">
        <f t="shared" si="150"/>
        <v>360</v>
      </c>
      <c r="T1030" s="236" t="e">
        <f t="shared" si="144"/>
        <v>#N/A</v>
      </c>
      <c r="U1030" s="195" t="e">
        <f t="shared" si="145"/>
        <v>#N/A</v>
      </c>
      <c r="V1030" s="195" t="e">
        <f t="shared" si="146"/>
        <v>#N/A</v>
      </c>
      <c r="W1030" s="185"/>
      <c r="X1030" s="141"/>
      <c r="Z1030" s="187"/>
      <c r="AA1030" s="187"/>
    </row>
    <row r="1031" spans="1:27" s="186" customFormat="1" ht="15" customHeight="1">
      <c r="A1031" s="215"/>
      <c r="B1031" s="168" t="s">
        <v>1068</v>
      </c>
      <c r="C1031" s="298">
        <f>C1030+2*SIN(RADIANS(M982))*(N975+C978)</f>
        <v>0</v>
      </c>
      <c r="D1031" s="323">
        <f>(C1031-(SIN(RADIANS(M982))*N975)-(COS(RADIANS(M982))*O975))*PI()/MEDIAN(U975:V979,P975:Q979)</f>
        <v>-4.7123889803846897</v>
      </c>
      <c r="E1031" s="323" t="e">
        <f>(C1031*PI()-N1031*(G1031+C978))/PI()</f>
        <v>#N/A</v>
      </c>
      <c r="F1031" s="323" t="e">
        <f>E1031-2*O975*COS(RADIANS(M982))</f>
        <v>#N/A</v>
      </c>
      <c r="G1031" s="325" t="e">
        <f>ROUND(VLOOKUP(M1031,R975:V979,4,FALSE),)</f>
        <v>#N/A</v>
      </c>
      <c r="H1031" s="325" t="e">
        <f>ROUND(VLOOKUP(O1031,M975:Q979,4,FALSE),)</f>
        <v>#N/A</v>
      </c>
      <c r="I1031" s="325" t="e">
        <f>ROUND(VLOOKUP(O1031,M975:Q979,5,FALSE),)</f>
        <v>#N/A</v>
      </c>
      <c r="J1031" s="325" t="e">
        <f>ROUND(VLOOKUP(Q1031,M975:Q979,4,FALSE),)</f>
        <v>#N/A</v>
      </c>
      <c r="K1031" s="325" t="e">
        <f>ROUND(VLOOKUP(Q1031,M975:Q979,5,FALSE),)</f>
        <v>#N/A</v>
      </c>
      <c r="L1031" s="620">
        <f t="shared" si="143"/>
        <v>-1.5707963267948966</v>
      </c>
      <c r="M1031" s="623">
        <f t="shared" si="147"/>
        <v>0</v>
      </c>
      <c r="N1031" s="621" t="e">
        <f>ROUND(HLOOKUP(M1031,N981:R982,2,FALSE),)</f>
        <v>#N/A</v>
      </c>
      <c r="O1031" s="623">
        <f t="shared" si="148"/>
        <v>0</v>
      </c>
      <c r="P1031" s="622" t="e">
        <f>PI()*(F1031*(J1031+C978)-E1031*(K1031+C978))/(((J1031+C978)*(I1031+C978))-((H1031+C978)*(K1031+C978)))</f>
        <v>#N/A</v>
      </c>
      <c r="Q1031" s="623">
        <f t="shared" si="149"/>
        <v>0</v>
      </c>
      <c r="R1031" s="622" t="e">
        <f>(E1031*PI()-P1031*(H1031+C978))/(J1031+C978)</f>
        <v>#N/A</v>
      </c>
      <c r="S1031" s="625">
        <f t="shared" si="150"/>
        <v>360</v>
      </c>
      <c r="T1031" s="236" t="e">
        <f t="shared" si="144"/>
        <v>#N/A</v>
      </c>
      <c r="U1031" s="195" t="e">
        <f t="shared" si="145"/>
        <v>#N/A</v>
      </c>
      <c r="V1031" s="195" t="e">
        <f t="shared" si="146"/>
        <v>#N/A</v>
      </c>
      <c r="W1031" s="185"/>
      <c r="X1031" s="141"/>
      <c r="Z1031" s="187"/>
      <c r="AA1031" s="187"/>
    </row>
    <row r="1032" spans="1:27" s="186" customFormat="1" ht="15" customHeight="1">
      <c r="A1032" s="215"/>
      <c r="B1032" s="168" t="s">
        <v>1069</v>
      </c>
      <c r="C1032" s="298">
        <f>C1031+2*SIN(RADIANS(M982))*(N975+C978)</f>
        <v>0</v>
      </c>
      <c r="D1032" s="323">
        <f>(C1032-(SIN(RADIANS(M982))*N975)-(COS(RADIANS(M982))*O975))*PI()/MEDIAN(U975:V979,P975:Q979)</f>
        <v>-4.7123889803846897</v>
      </c>
      <c r="E1032" s="323" t="e">
        <f>(C1032*PI()-N1032*(G1032+C978))/PI()</f>
        <v>#N/A</v>
      </c>
      <c r="F1032" s="323" t="e">
        <f>E1032-2*O975*COS(RADIANS(M982))</f>
        <v>#N/A</v>
      </c>
      <c r="G1032" s="325" t="e">
        <f>ROUND(VLOOKUP(M1032,R975:V979,4,FALSE),)</f>
        <v>#N/A</v>
      </c>
      <c r="H1032" s="325" t="e">
        <f>ROUND(VLOOKUP(O1032,M975:Q979,4,FALSE),)</f>
        <v>#N/A</v>
      </c>
      <c r="I1032" s="325" t="e">
        <f>ROUND(VLOOKUP(O1032,M975:Q979,5,FALSE),)</f>
        <v>#N/A</v>
      </c>
      <c r="J1032" s="325" t="e">
        <f>ROUND(VLOOKUP(Q1032,M975:Q979,4,FALSE),)</f>
        <v>#N/A</v>
      </c>
      <c r="K1032" s="325" t="e">
        <f>ROUND(VLOOKUP(Q1032,M975:Q979,5,FALSE),)</f>
        <v>#N/A</v>
      </c>
      <c r="L1032" s="620">
        <f t="shared" si="143"/>
        <v>-1.5707963267948966</v>
      </c>
      <c r="M1032" s="623">
        <f t="shared" si="147"/>
        <v>0</v>
      </c>
      <c r="N1032" s="621" t="e">
        <f>ROUND(HLOOKUP(M1032,N981:R982,2,FALSE),)</f>
        <v>#N/A</v>
      </c>
      <c r="O1032" s="623">
        <f t="shared" si="148"/>
        <v>0</v>
      </c>
      <c r="P1032" s="622" t="e">
        <f>PI()*(F1032*(J1032+C978)-E1032*(K1032+C978))/(((J1032+C978)*(I1032+C978))-((H1032+C978)*(K1032+C978)))</f>
        <v>#N/A</v>
      </c>
      <c r="Q1032" s="623">
        <f t="shared" si="149"/>
        <v>0</v>
      </c>
      <c r="R1032" s="622" t="e">
        <f>(E1032*PI()-P1032*(H1032+C978))/(J1032+C978)</f>
        <v>#N/A</v>
      </c>
      <c r="S1032" s="625">
        <f t="shared" si="150"/>
        <v>360</v>
      </c>
      <c r="T1032" s="236" t="e">
        <f t="shared" si="144"/>
        <v>#N/A</v>
      </c>
      <c r="U1032" s="195" t="e">
        <f t="shared" si="145"/>
        <v>#N/A</v>
      </c>
      <c r="V1032" s="195" t="e">
        <f t="shared" si="146"/>
        <v>#N/A</v>
      </c>
      <c r="W1032" s="185"/>
      <c r="X1032" s="141"/>
      <c r="Z1032" s="187"/>
      <c r="AA1032" s="187"/>
    </row>
    <row r="1033" spans="1:27" s="186" customFormat="1" ht="15" customHeight="1">
      <c r="A1033" s="215"/>
      <c r="B1033" s="168" t="s">
        <v>1070</v>
      </c>
      <c r="C1033" s="298">
        <f>C1032+2*SIN(RADIANS(M982))*(N975+C978)</f>
        <v>0</v>
      </c>
      <c r="D1033" s="323">
        <f>(C1033-(SIN(RADIANS(M982))*N975)-(COS(RADIANS(M982))*O975))*PI()/MEDIAN(U975:V979,P975:Q979)</f>
        <v>-4.7123889803846897</v>
      </c>
      <c r="E1033" s="323" t="e">
        <f>(C1033*PI()-N1033*(G1033+C978))/PI()</f>
        <v>#N/A</v>
      </c>
      <c r="F1033" s="323" t="e">
        <f>E1033-2*O975*COS(RADIANS(M982))</f>
        <v>#N/A</v>
      </c>
      <c r="G1033" s="325" t="e">
        <f>ROUND(VLOOKUP(M1033,R975:V979,4,FALSE),)</f>
        <v>#N/A</v>
      </c>
      <c r="H1033" s="325" t="e">
        <f>ROUND(VLOOKUP(O1033,M975:Q979,4,FALSE),)</f>
        <v>#N/A</v>
      </c>
      <c r="I1033" s="325" t="e">
        <f>ROUND(VLOOKUP(O1033,M975:Q979,5,FALSE),)</f>
        <v>#N/A</v>
      </c>
      <c r="J1033" s="325" t="e">
        <f>ROUND(VLOOKUP(Q1033,M975:Q979,4,FALSE),)</f>
        <v>#N/A</v>
      </c>
      <c r="K1033" s="325" t="e">
        <f>ROUND(VLOOKUP(Q1033,M975:Q979,5,FALSE),)</f>
        <v>#N/A</v>
      </c>
      <c r="L1033" s="620">
        <f t="shared" si="143"/>
        <v>-1.5707963267948966</v>
      </c>
      <c r="M1033" s="623">
        <f t="shared" si="147"/>
        <v>0</v>
      </c>
      <c r="N1033" s="621" t="e">
        <f>ROUND(HLOOKUP(M1033,N981:R982,2,FALSE),)</f>
        <v>#N/A</v>
      </c>
      <c r="O1033" s="623">
        <f t="shared" si="148"/>
        <v>0</v>
      </c>
      <c r="P1033" s="622" t="e">
        <f>PI()*(F1033*(J1033+C978)-E1033*(K1033+C978))/(((J1033+C978)*(I1033+C978))-((H1033+C978)*(K1033+C978)))</f>
        <v>#N/A</v>
      </c>
      <c r="Q1033" s="623">
        <f t="shared" si="149"/>
        <v>0</v>
      </c>
      <c r="R1033" s="622" t="e">
        <f>(E1033*PI()-P1033*(H1033+C978))/(J1033+C978)</f>
        <v>#N/A</v>
      </c>
      <c r="S1033" s="625">
        <f t="shared" si="150"/>
        <v>360</v>
      </c>
      <c r="T1033" s="236" t="e">
        <f t="shared" si="144"/>
        <v>#N/A</v>
      </c>
      <c r="U1033" s="195" t="e">
        <f t="shared" si="145"/>
        <v>#N/A</v>
      </c>
      <c r="V1033" s="195" t="e">
        <f t="shared" si="146"/>
        <v>#N/A</v>
      </c>
      <c r="W1033" s="185"/>
      <c r="X1033" s="141"/>
      <c r="Z1033" s="187"/>
      <c r="AA1033" s="187"/>
    </row>
    <row r="1034" spans="1:27" s="186" customFormat="1" ht="15" customHeight="1">
      <c r="A1034" s="215"/>
      <c r="B1034" s="168" t="s">
        <v>1071</v>
      </c>
      <c r="C1034" s="298">
        <f>C1033+2*SIN(RADIANS(M982))*(N975+C978)</f>
        <v>0</v>
      </c>
      <c r="D1034" s="323">
        <f>(C1034-(SIN(RADIANS(M982))*N975)-(COS(RADIANS(M982))*O975))*PI()/MEDIAN(U975:V979,P975:Q979)</f>
        <v>-4.7123889803846897</v>
      </c>
      <c r="E1034" s="323" t="e">
        <f>(C1034*PI()-N1034*(G1034+C978))/PI()</f>
        <v>#N/A</v>
      </c>
      <c r="F1034" s="323" t="e">
        <f>E1034-2*O975*COS(RADIANS(M982))</f>
        <v>#N/A</v>
      </c>
      <c r="G1034" s="325" t="e">
        <f>ROUND(VLOOKUP(M1034,R975:V979,4,FALSE),)</f>
        <v>#N/A</v>
      </c>
      <c r="H1034" s="325" t="e">
        <f>ROUND(VLOOKUP(O1034,M975:Q979,4,FALSE),)</f>
        <v>#N/A</v>
      </c>
      <c r="I1034" s="325" t="e">
        <f>ROUND(VLOOKUP(O1034,M975:Q979,5,FALSE),)</f>
        <v>#N/A</v>
      </c>
      <c r="J1034" s="325" t="e">
        <f>ROUND(VLOOKUP(Q1034,M975:Q979,4,FALSE),)</f>
        <v>#N/A</v>
      </c>
      <c r="K1034" s="325" t="e">
        <f>ROUND(VLOOKUP(Q1034,M975:Q979,5,FALSE),)</f>
        <v>#N/A</v>
      </c>
      <c r="L1034" s="620">
        <f t="shared" si="143"/>
        <v>-1.5707963267948966</v>
      </c>
      <c r="M1034" s="623">
        <f t="shared" si="147"/>
        <v>0</v>
      </c>
      <c r="N1034" s="621" t="e">
        <f>ROUND(HLOOKUP(M1034,N981:R982,2,FALSE),)</f>
        <v>#N/A</v>
      </c>
      <c r="O1034" s="623">
        <f t="shared" si="148"/>
        <v>0</v>
      </c>
      <c r="P1034" s="622" t="e">
        <f>PI()*(F1034*(J1034+C978)-E1034*(K1034+C978))/(((J1034+C978)*(I1034+C978))-((H1034+C978)*(K1034+C978)))</f>
        <v>#N/A</v>
      </c>
      <c r="Q1034" s="623">
        <f t="shared" si="149"/>
        <v>0</v>
      </c>
      <c r="R1034" s="622" t="e">
        <f>(E1034*PI()-P1034*(H1034+C978))/(J1034+C978)</f>
        <v>#N/A</v>
      </c>
      <c r="S1034" s="625">
        <f t="shared" si="150"/>
        <v>360</v>
      </c>
      <c r="T1034" s="236" t="e">
        <f t="shared" si="144"/>
        <v>#N/A</v>
      </c>
      <c r="U1034" s="195" t="e">
        <f t="shared" si="145"/>
        <v>#N/A</v>
      </c>
      <c r="V1034" s="195" t="e">
        <f t="shared" si="146"/>
        <v>#N/A</v>
      </c>
      <c r="W1034" s="185"/>
      <c r="X1034" s="141"/>
      <c r="Z1034" s="187"/>
      <c r="AA1034" s="187"/>
    </row>
    <row r="1035" spans="1:27" s="186" customFormat="1" ht="15" customHeight="1">
      <c r="A1035" s="215"/>
      <c r="B1035" s="168" t="s">
        <v>1072</v>
      </c>
      <c r="C1035" s="298">
        <f>C1034+2*SIN(RADIANS(M982))*(N975+C978)</f>
        <v>0</v>
      </c>
      <c r="D1035" s="323">
        <f>(C1035-(SIN(RADIANS(M982))*N975)-(COS(RADIANS(M982))*O975))*PI()/MEDIAN(U975:V979,P975:Q979)</f>
        <v>-4.7123889803846897</v>
      </c>
      <c r="E1035" s="323" t="e">
        <f>(C1035*PI()-N1035*(G1035+C978))/PI()</f>
        <v>#N/A</v>
      </c>
      <c r="F1035" s="323" t="e">
        <f>E1035-2*O975*COS(RADIANS(M982))</f>
        <v>#N/A</v>
      </c>
      <c r="G1035" s="325" t="e">
        <f>ROUND(VLOOKUP(M1035,R975:V979,4,FALSE),)</f>
        <v>#N/A</v>
      </c>
      <c r="H1035" s="325" t="e">
        <f>ROUND(VLOOKUP(O1035,M975:Q979,4,FALSE),)</f>
        <v>#N/A</v>
      </c>
      <c r="I1035" s="325" t="e">
        <f>ROUND(VLOOKUP(O1035,M975:Q979,5,FALSE),)</f>
        <v>#N/A</v>
      </c>
      <c r="J1035" s="325" t="e">
        <f>ROUND(VLOOKUP(Q1035,M975:Q979,4,FALSE),)</f>
        <v>#N/A</v>
      </c>
      <c r="K1035" s="325" t="e">
        <f>ROUND(VLOOKUP(Q1035,M975:Q979,5,FALSE),)</f>
        <v>#N/A</v>
      </c>
      <c r="L1035" s="620">
        <f t="shared" si="143"/>
        <v>-1.5707963267948966</v>
      </c>
      <c r="M1035" s="623">
        <f t="shared" si="147"/>
        <v>0</v>
      </c>
      <c r="N1035" s="621" t="e">
        <f>ROUND(HLOOKUP(M1035,N981:R982,2,FALSE),)</f>
        <v>#N/A</v>
      </c>
      <c r="O1035" s="623">
        <f t="shared" si="148"/>
        <v>0</v>
      </c>
      <c r="P1035" s="622" t="e">
        <f>PI()*(F1035*(J1035+C978)-E1035*(K1035+C978))/(((J1035+C978)*(I1035+C978))-((H1035+C978)*(K1035+C978)))</f>
        <v>#N/A</v>
      </c>
      <c r="Q1035" s="623">
        <f t="shared" si="149"/>
        <v>0</v>
      </c>
      <c r="R1035" s="622" t="e">
        <f>(E1035*PI()-P1035*(H1035+C978))/(J1035+C978)</f>
        <v>#N/A</v>
      </c>
      <c r="S1035" s="625">
        <f t="shared" si="150"/>
        <v>360</v>
      </c>
      <c r="T1035" s="236" t="e">
        <f t="shared" si="144"/>
        <v>#N/A</v>
      </c>
      <c r="U1035" s="195" t="e">
        <f t="shared" si="145"/>
        <v>#N/A</v>
      </c>
      <c r="V1035" s="195" t="e">
        <f t="shared" si="146"/>
        <v>#N/A</v>
      </c>
      <c r="W1035" s="185"/>
      <c r="X1035" s="141"/>
      <c r="Z1035" s="187"/>
      <c r="AA1035" s="187"/>
    </row>
    <row r="1036" spans="1:27" s="186" customFormat="1" ht="15" customHeight="1" thickBot="1">
      <c r="A1036" s="215"/>
      <c r="B1036" s="168" t="s">
        <v>1073</v>
      </c>
      <c r="C1036" s="298">
        <f>C1035+2*SIN(RADIANS(M982))*(N975+C978)</f>
        <v>0</v>
      </c>
      <c r="D1036" s="323">
        <f>(C1036-(SIN(RADIANS(M982))*N975)-(COS(RADIANS(M982))*O975))*PI()/MEDIAN(U975:V979,P975:Q979)</f>
        <v>-4.7123889803846897</v>
      </c>
      <c r="E1036" s="323" t="e">
        <f>(C1036*PI()-N1036*(G1036+C978))/PI()</f>
        <v>#N/A</v>
      </c>
      <c r="F1036" s="323" t="e">
        <f>E1036-2*O975*COS(RADIANS(M982))</f>
        <v>#N/A</v>
      </c>
      <c r="G1036" s="325" t="e">
        <f>ROUND(VLOOKUP(M1036,R975:V979,4,FALSE),)</f>
        <v>#N/A</v>
      </c>
      <c r="H1036" s="325" t="e">
        <f>ROUND(VLOOKUP(O1036,M975:Q979,4,FALSE),)</f>
        <v>#N/A</v>
      </c>
      <c r="I1036" s="325" t="e">
        <f>ROUND(VLOOKUP(O1036,M975:Q979,5,FALSE),)</f>
        <v>#N/A</v>
      </c>
      <c r="J1036" s="325" t="e">
        <f>ROUND(VLOOKUP(Q1036,M975:Q979,4,FALSE),)</f>
        <v>#N/A</v>
      </c>
      <c r="K1036" s="325" t="e">
        <f>ROUND(VLOOKUP(Q1036,M975:Q979,5,FALSE),)</f>
        <v>#N/A</v>
      </c>
      <c r="L1036" s="620">
        <f t="shared" si="143"/>
        <v>-1.5707963267948966</v>
      </c>
      <c r="M1036" s="289">
        <f t="shared" si="147"/>
        <v>0</v>
      </c>
      <c r="N1036" s="621" t="e">
        <f>ROUND(HLOOKUP(M1036,N981:R982,2,FALSE),)</f>
        <v>#N/A</v>
      </c>
      <c r="O1036" s="289">
        <f t="shared" si="148"/>
        <v>0</v>
      </c>
      <c r="P1036" s="622" t="e">
        <f>PI()*(F1036*(J1036+C978)-E1036*(K1036+C978))/(((J1036+C978)*(I1036+C978))-((H1036+C978)*(K1036+C978)))</f>
        <v>#N/A</v>
      </c>
      <c r="Q1036" s="289">
        <f t="shared" si="149"/>
        <v>0</v>
      </c>
      <c r="R1036" s="622" t="e">
        <f>(E1036*PI()-P1036*(H1036+C978))/(J1036+C978)</f>
        <v>#N/A</v>
      </c>
      <c r="S1036" s="626">
        <f t="shared" si="150"/>
        <v>360</v>
      </c>
      <c r="T1036" s="236" t="e">
        <f t="shared" si="144"/>
        <v>#N/A</v>
      </c>
      <c r="U1036" s="195" t="e">
        <f t="shared" si="145"/>
        <v>#N/A</v>
      </c>
      <c r="V1036" s="195" t="e">
        <f t="shared" si="146"/>
        <v>#N/A</v>
      </c>
      <c r="W1036" s="185"/>
      <c r="X1036" s="141"/>
      <c r="Z1036" s="187"/>
      <c r="AA1036" s="187"/>
    </row>
    <row r="1037" spans="1:27" s="186" customFormat="1" ht="15" customHeight="1">
      <c r="A1037" s="215"/>
      <c r="B1037" s="194"/>
      <c r="C1037" s="200"/>
      <c r="D1037" s="195"/>
      <c r="E1037" s="195"/>
      <c r="F1037" s="195"/>
      <c r="G1037" s="195"/>
      <c r="H1037" s="195"/>
      <c r="I1037" s="195"/>
      <c r="J1037" s="196"/>
      <c r="K1037" s="196"/>
      <c r="L1037" s="144"/>
      <c r="M1037" s="195"/>
      <c r="N1037" s="195"/>
      <c r="O1037" s="195"/>
      <c r="P1037" s="195"/>
      <c r="Q1037" s="195"/>
      <c r="R1037" s="195"/>
      <c r="S1037" s="195"/>
      <c r="T1037" s="195"/>
      <c r="U1037" s="195"/>
      <c r="V1037" s="197"/>
      <c r="W1037" s="185"/>
      <c r="X1037" s="141"/>
      <c r="Z1037" s="187"/>
      <c r="AA1037" s="187"/>
    </row>
    <row r="1038" spans="1:27" s="186" customFormat="1" ht="15" customHeight="1">
      <c r="A1038" s="215"/>
      <c r="B1038" s="194"/>
      <c r="C1038" s="200"/>
      <c r="D1038" s="195"/>
      <c r="E1038" s="195"/>
      <c r="F1038" s="195"/>
      <c r="G1038" s="195"/>
      <c r="H1038" s="195"/>
      <c r="I1038" s="195"/>
      <c r="J1038" s="196"/>
      <c r="K1038" s="196"/>
      <c r="L1038" s="144"/>
      <c r="M1038" s="195"/>
      <c r="N1038" s="195"/>
      <c r="O1038" s="195"/>
      <c r="P1038" s="195"/>
      <c r="Q1038" s="195"/>
      <c r="R1038" s="195"/>
      <c r="S1038" s="195"/>
      <c r="T1038" s="195"/>
      <c r="U1038" s="195"/>
      <c r="V1038" s="197"/>
      <c r="W1038" s="185"/>
      <c r="X1038" s="141"/>
      <c r="Z1038" s="187"/>
      <c r="AA1038" s="187"/>
    </row>
    <row r="1039" spans="1:27" s="186" customFormat="1" ht="15" customHeight="1" thickBot="1">
      <c r="A1039" s="215"/>
      <c r="B1039" s="279" t="s">
        <v>1010</v>
      </c>
      <c r="C1039" s="280"/>
      <c r="D1039" s="281"/>
      <c r="E1039" s="281"/>
      <c r="F1039" s="281"/>
      <c r="G1039" s="281"/>
      <c r="H1039" s="281"/>
      <c r="I1039" s="281"/>
      <c r="J1039" s="282"/>
      <c r="K1039" s="282"/>
      <c r="L1039" s="283"/>
      <c r="M1039" s="281"/>
      <c r="N1039" s="281"/>
      <c r="O1039" s="281"/>
      <c r="P1039" s="281"/>
      <c r="Q1039" s="281"/>
      <c r="R1039" s="281"/>
      <c r="S1039" s="284"/>
      <c r="T1039" s="281"/>
      <c r="U1039" s="281" t="s">
        <v>678</v>
      </c>
      <c r="V1039" s="285" t="s">
        <v>27</v>
      </c>
      <c r="W1039" s="286"/>
      <c r="X1039" s="287"/>
      <c r="Z1039" s="187"/>
      <c r="AA1039" s="187"/>
    </row>
    <row r="1040" spans="1:27" s="186" customFormat="1" ht="15" customHeight="1" thickBot="1">
      <c r="A1040" s="215"/>
      <c r="B1040" s="210"/>
      <c r="C1040" s="133">
        <f>SUMIF(Densidades!A:A,'Memória TOTAL'!X1040,Densidades!B:B)</f>
        <v>0</v>
      </c>
      <c r="D1040" s="134">
        <f>SUMIF(Densidades!A:A,'Memória TOTAL'!X1040,Densidades!C:C)</f>
        <v>0</v>
      </c>
      <c r="E1040" s="134" t="str">
        <f>IF(I1040=15,"FIRECLAY MORTAR",IF(I1040=16,"ALUMINA MORTAR",IF(I1040=17,"BASIC MORTAR",IF(I1040=18,"MORTAR","-"))))</f>
        <v>-</v>
      </c>
      <c r="F1040" s="134" t="str">
        <f>IF(I1040=15,"FIRECLAY MORTAR",IF(I1040=16,"ALUMINA MORTAR",IF(I1040=17,"BASIC MORTAR",IF(I1040=18,"MORTAR","-"))))</f>
        <v>-</v>
      </c>
      <c r="G1040" s="134" t="str">
        <f>IF(I1040=15,"FIRECLAY MORTAR",IF(I1040=16,"ALUMINA MORTAR",IF(I1040=17,"BASIC MORTAR",IF(I1040=18,"MORTAR","-"))))</f>
        <v>-</v>
      </c>
      <c r="H1040" s="134" t="str">
        <f>IF(I1040=15,"FIRECLAY MORTAR",IF(I1040=16,"ALUMINA MORTAR",IF(I1040=17,"BASIC MORTAR",IF(I1040=18,"MORTAR","-"))))</f>
        <v>-</v>
      </c>
      <c r="I1040" s="134">
        <f>SUMIF(Densidades!A:A,'Memória TOTAL'!X1040,Densidades!G:G)</f>
        <v>0</v>
      </c>
      <c r="J1040" s="136">
        <f>SUMIF(Formatos!A:A,'Memória TOTAL'!X1041,Formatos!G:G)</f>
        <v>0</v>
      </c>
      <c r="K1040" s="137">
        <f>SUMIF(Densidades!A:A,'Memória TOTAL'!X1040,Densidades!I:I)</f>
        <v>0</v>
      </c>
      <c r="L1040" s="188">
        <v>0</v>
      </c>
      <c r="M1040" s="189"/>
      <c r="N1040" s="189"/>
      <c r="O1040" s="189"/>
      <c r="P1040" s="189"/>
      <c r="Q1040" s="189"/>
      <c r="R1040" s="189"/>
      <c r="S1040" s="189"/>
      <c r="T1040" s="190"/>
      <c r="U1040" s="290"/>
      <c r="V1040" s="192" t="e">
        <f>(W933*J933*C1040+W937*J937*C1040+W941*J941*C1040+W945*J945*C1040+W949*J949*C1040+W953*J953*C1040+W957*J957*C1040+W961*J961*C1040+W965*J965*C1040+W969*J969*C1040)*U1040</f>
        <v>#N/A</v>
      </c>
      <c r="W1040" s="193" t="str">
        <f>IF(C1040=0,"",ROUNDUP(SUM(V1040:V1041)*(1+L1040)/D1040,2)*D1040)</f>
        <v/>
      </c>
      <c r="X1040" s="263"/>
      <c r="Z1040" s="187"/>
      <c r="AA1040" s="187"/>
    </row>
    <row r="1041" spans="1:27" s="186" customFormat="1" ht="15" customHeight="1">
      <c r="A1041" s="215"/>
      <c r="B1041" s="210"/>
      <c r="C1041" s="133"/>
      <c r="D1041" s="195"/>
      <c r="E1041" s="195"/>
      <c r="F1041" s="195"/>
      <c r="G1041" s="195"/>
      <c r="H1041" s="195"/>
      <c r="I1041" s="195"/>
      <c r="J1041" s="196"/>
      <c r="K1041" s="196"/>
      <c r="L1041" s="144"/>
      <c r="M1041" s="195"/>
      <c r="N1041" s="195"/>
      <c r="O1041" s="195"/>
      <c r="P1041" s="195"/>
      <c r="Q1041" s="195"/>
      <c r="R1041" s="195"/>
      <c r="S1041" s="195"/>
      <c r="T1041" s="195"/>
      <c r="U1041" s="195"/>
      <c r="V1041" s="197"/>
      <c r="W1041" s="185"/>
      <c r="X1041" s="141" t="str">
        <f>IF(AND(H1040="-",G1040="-",F1040="-"),E1040,IF(AND(H1040="-",G1040="-",E1040="-"),F1040,IF(AND(H1040="-",F1040="-",E1040="-"),G1040,H1040)))</f>
        <v>-</v>
      </c>
      <c r="Z1041" s="187"/>
      <c r="AA1041" s="187"/>
    </row>
    <row r="1042" spans="1:27" s="186" customFormat="1" ht="15" customHeight="1">
      <c r="A1042" s="215"/>
      <c r="B1042" s="213"/>
      <c r="C1042" s="133"/>
      <c r="D1042" s="195"/>
      <c r="E1042" s="195"/>
      <c r="F1042" s="195"/>
      <c r="G1042" s="195"/>
      <c r="H1042" s="195"/>
      <c r="I1042" s="195"/>
      <c r="J1042" s="196"/>
      <c r="K1042" s="196"/>
      <c r="L1042" s="144"/>
      <c r="M1042" s="195"/>
      <c r="N1042" s="195"/>
      <c r="O1042" s="195"/>
      <c r="P1042" s="195"/>
      <c r="Q1042" s="195"/>
      <c r="R1042" s="195"/>
      <c r="S1042" s="195"/>
      <c r="T1042" s="195"/>
      <c r="U1042" s="195"/>
      <c r="V1042" s="197"/>
      <c r="W1042" s="185"/>
      <c r="X1042" s="141" t="s">
        <v>2</v>
      </c>
      <c r="Z1042" s="187"/>
      <c r="AA1042" s="187"/>
    </row>
    <row r="1043" spans="1:27" ht="15" customHeight="1">
      <c r="A1043" s="215"/>
      <c r="B1043" s="131"/>
      <c r="C1043" s="169"/>
      <c r="D1043" s="170"/>
      <c r="E1043" s="170"/>
      <c r="F1043" s="170"/>
      <c r="G1043" s="170"/>
      <c r="H1043" s="170"/>
      <c r="I1043" s="170"/>
      <c r="J1043" s="171"/>
      <c r="K1043" s="171"/>
      <c r="L1043" s="172"/>
      <c r="M1043" s="170"/>
      <c r="N1043" s="170"/>
      <c r="O1043" s="170"/>
      <c r="P1043" s="170"/>
      <c r="Q1043" s="170"/>
      <c r="R1043" s="170"/>
      <c r="S1043" s="170"/>
      <c r="T1043" s="170"/>
      <c r="U1043" s="170"/>
      <c r="V1043" s="173"/>
      <c r="W1043" s="174"/>
      <c r="X1043" s="175"/>
      <c r="Y1043" s="186"/>
    </row>
    <row r="1044" spans="1:27" s="186" customFormat="1" ht="15" customHeight="1" thickBot="1">
      <c r="A1044" s="215"/>
      <c r="B1044" s="279" t="s">
        <v>1011</v>
      </c>
      <c r="C1044" s="280"/>
      <c r="D1044" s="281"/>
      <c r="E1044" s="281"/>
      <c r="F1044" s="281"/>
      <c r="G1044" s="281"/>
      <c r="H1044" s="281"/>
      <c r="I1044" s="281"/>
      <c r="J1044" s="282"/>
      <c r="K1044" s="282"/>
      <c r="L1044" s="283"/>
      <c r="M1044" s="281"/>
      <c r="N1044" s="281"/>
      <c r="O1044" s="281"/>
      <c r="P1044" s="281"/>
      <c r="Q1044" s="281"/>
      <c r="R1044" s="281" t="s">
        <v>636</v>
      </c>
      <c r="S1044" s="284" t="s">
        <v>637</v>
      </c>
      <c r="T1044" s="281" t="s">
        <v>638</v>
      </c>
      <c r="U1044" s="281" t="s">
        <v>38</v>
      </c>
      <c r="V1044" s="285" t="s">
        <v>27</v>
      </c>
      <c r="W1044" s="286"/>
      <c r="X1044" s="287"/>
      <c r="Z1044" s="187"/>
      <c r="AA1044" s="187"/>
    </row>
    <row r="1045" spans="1:27" s="186" customFormat="1" ht="15" customHeight="1" thickBot="1">
      <c r="A1045" s="215"/>
      <c r="B1045" s="210"/>
      <c r="C1045" s="133">
        <f>SUMIF(Densidades!A:A,'Memória TOTAL'!X1045,Densidades!B:B)</f>
        <v>0</v>
      </c>
      <c r="D1045" s="134">
        <f>SUMIF(Densidades!A:A,'Memória TOTAL'!X1045,Densidades!C:C)</f>
        <v>0</v>
      </c>
      <c r="E1045" s="134" t="str">
        <f>IF(I1045=15,"FIRECLAY MORTAR",IF(I1045=16,"ALUMINA MORTAR",IF(I1045=17,"BASIC MORTAR",IF(I1045=18,"MORTAR","-"))))</f>
        <v>-</v>
      </c>
      <c r="F1045" s="134" t="str">
        <f>IF(I1045=15,"FIRECLAY MORTAR",IF(I1045=16,"ALUMINA MORTAR",IF(I1045=17,"BASIC MORTAR",IF(I1045=18,"MORTAR","-"))))</f>
        <v>-</v>
      </c>
      <c r="G1045" s="134" t="str">
        <f>IF(I1045=15,"FIRECLAY MORTAR",IF(I1045=16,"ALUMINA MORTAR",IF(I1045=17,"BASIC MORTAR",IF(I1045=18,"MORTAR","-"))))</f>
        <v>-</v>
      </c>
      <c r="H1045" s="134" t="str">
        <f>IF(I1045=15,"FIRECLAY MORTAR",IF(I1045=16,"ALUMINA MORTAR",IF(I1045=17,"BASIC MORTAR",IF(I1045=18,"MORTAR","-"))))</f>
        <v>-</v>
      </c>
      <c r="I1045" s="134">
        <f>SUMIF(Densidades!A:A,'Memória TOTAL'!X1045,Densidades!G:G)</f>
        <v>0</v>
      </c>
      <c r="J1045" s="136">
        <f>SUMIF(Formatos!A:A,'Memória TOTAL'!X1046,Formatos!G:G)</f>
        <v>0</v>
      </c>
      <c r="K1045" s="222">
        <f>SUMIF(Densidades!A:A,'Memória TOTAL'!X1045,Densidades!I:I)</f>
        <v>0</v>
      </c>
      <c r="L1045" s="188">
        <v>0</v>
      </c>
      <c r="M1045" s="189"/>
      <c r="N1045" s="189"/>
      <c r="O1045" s="189"/>
      <c r="P1045" s="189"/>
      <c r="Q1045" s="189"/>
      <c r="R1045" s="190">
        <f>((G933*H933)+(G933*E933)+(H933*E933))/1000000</f>
        <v>0</v>
      </c>
      <c r="S1045" s="259">
        <v>2</v>
      </c>
      <c r="T1045" s="190">
        <f>R1045*S1045</f>
        <v>0</v>
      </c>
      <c r="U1045" s="191" t="e">
        <f>SUM(W933:W971)</f>
        <v>#N/A</v>
      </c>
      <c r="V1045" s="192" t="e">
        <f>(T1045*C1045*(1+L1045))*U1045</f>
        <v>#N/A</v>
      </c>
      <c r="W1045" s="140" t="str">
        <f>IF(C1045=0,"",ROUNDUP(SUM(V1045:V1046)*(1+L1045)/D1045,2)*D1045)</f>
        <v/>
      </c>
      <c r="X1045" s="263"/>
      <c r="Z1045" s="187"/>
      <c r="AA1045" s="187"/>
    </row>
    <row r="1046" spans="1:27" s="186" customFormat="1" ht="15" customHeight="1">
      <c r="A1046" s="215"/>
      <c r="B1046" s="210"/>
      <c r="C1046" s="133"/>
      <c r="D1046" s="195"/>
      <c r="E1046" s="195"/>
      <c r="F1046" s="195"/>
      <c r="G1046" s="195"/>
      <c r="H1046" s="195"/>
      <c r="I1046" s="195"/>
      <c r="J1046" s="196"/>
      <c r="K1046" s="196"/>
      <c r="L1046" s="144"/>
      <c r="M1046" s="195"/>
      <c r="N1046" s="195"/>
      <c r="O1046" s="195"/>
      <c r="P1046" s="195"/>
      <c r="Q1046" s="195"/>
      <c r="R1046" s="195"/>
      <c r="S1046" s="195"/>
      <c r="T1046" s="195"/>
      <c r="U1046" s="195"/>
      <c r="V1046" s="197"/>
      <c r="W1046" s="185"/>
      <c r="X1046" s="141" t="str">
        <f>IF(AND(H1045="-",G1045="-",F1045="-"),E1045,IF(AND(H1045="-",G1045="-",E1045="-"),F1045,IF(AND(H1045="-",F1045="-",E1045="-"),G1045,H1045)))</f>
        <v>-</v>
      </c>
      <c r="Z1046" s="187"/>
      <c r="AA1046" s="187"/>
    </row>
    <row r="1047" spans="1:27" s="186" customFormat="1" ht="15" customHeight="1">
      <c r="A1047" s="215"/>
      <c r="B1047" s="213"/>
      <c r="C1047" s="133"/>
      <c r="D1047" s="195"/>
      <c r="E1047" s="195"/>
      <c r="F1047" s="195"/>
      <c r="G1047" s="195"/>
      <c r="H1047" s="195"/>
      <c r="I1047" s="195"/>
      <c r="J1047" s="196"/>
      <c r="K1047" s="196"/>
      <c r="L1047" s="144"/>
      <c r="M1047" s="195"/>
      <c r="N1047" s="195"/>
      <c r="O1047" s="195"/>
      <c r="P1047" s="195"/>
      <c r="Q1047" s="195"/>
      <c r="R1047" s="195"/>
      <c r="S1047" s="195"/>
      <c r="T1047" s="195"/>
      <c r="U1047" s="195"/>
      <c r="V1047" s="197"/>
      <c r="W1047" s="185"/>
      <c r="X1047" s="141" t="s">
        <v>2</v>
      </c>
      <c r="Z1047" s="187"/>
      <c r="AA1047" s="187"/>
    </row>
    <row r="1048" spans="1:27" s="186" customFormat="1" ht="15" customHeight="1">
      <c r="A1048" s="214"/>
      <c r="B1048" s="210"/>
      <c r="C1048" s="298"/>
      <c r="D1048" s="195"/>
      <c r="E1048" s="195"/>
      <c r="F1048" s="195"/>
      <c r="G1048" s="195"/>
      <c r="H1048" s="195"/>
      <c r="I1048" s="195"/>
      <c r="J1048" s="196"/>
      <c r="K1048" s="196"/>
      <c r="L1048" s="144"/>
      <c r="M1048" s="195"/>
      <c r="N1048" s="195"/>
      <c r="O1048" s="195"/>
      <c r="P1048" s="195"/>
      <c r="Q1048" s="195"/>
      <c r="R1048" s="195"/>
      <c r="S1048" s="195"/>
      <c r="T1048" s="195"/>
      <c r="U1048" s="195"/>
      <c r="V1048" s="197"/>
      <c r="W1048" s="185"/>
      <c r="X1048" s="141"/>
      <c r="Z1048" s="187"/>
      <c r="AA1048" s="187"/>
    </row>
    <row r="1049" spans="1:27" s="186" customFormat="1" ht="15" customHeight="1" thickBot="1">
      <c r="A1049" s="214"/>
      <c r="B1049" s="509"/>
      <c r="C1049" s="509"/>
      <c r="D1049" s="512"/>
      <c r="E1049" s="512"/>
      <c r="F1049" s="512"/>
      <c r="G1049" s="512"/>
      <c r="H1049" s="512"/>
      <c r="I1049" s="512"/>
      <c r="J1049" s="512"/>
      <c r="K1049" s="512"/>
      <c r="L1049" s="512"/>
      <c r="M1049" s="512"/>
      <c r="N1049" s="512"/>
      <c r="O1049" s="512"/>
      <c r="P1049" s="512"/>
      <c r="Q1049" s="512"/>
      <c r="R1049" s="512"/>
      <c r="S1049" s="512"/>
      <c r="T1049" s="512"/>
      <c r="U1049" s="512"/>
      <c r="V1049" s="512"/>
      <c r="W1049" s="512"/>
      <c r="X1049" s="513"/>
      <c r="Z1049" s="187"/>
      <c r="AA1049" s="187"/>
    </row>
    <row r="1050" spans="1:27" s="186" customFormat="1" ht="15" customHeight="1" thickBot="1">
      <c r="A1050" s="215"/>
      <c r="B1050" s="514" t="str">
        <f>IF(X1051="","TIJOLO / TRONCO DE CONE - 3 TIJOLOS",X1051)</f>
        <v>TIJOLO / TRONCO DE CONE - 3 TIJOLOS</v>
      </c>
      <c r="C1050" s="658" t="s">
        <v>101</v>
      </c>
      <c r="D1050" s="659" t="s">
        <v>102</v>
      </c>
      <c r="E1050" s="659" t="s">
        <v>42</v>
      </c>
      <c r="F1050" s="659" t="s">
        <v>42</v>
      </c>
      <c r="G1050" s="659" t="s">
        <v>43</v>
      </c>
      <c r="H1050" s="659" t="s">
        <v>44</v>
      </c>
      <c r="I1050" s="659" t="s">
        <v>47</v>
      </c>
      <c r="J1050" s="659" t="s">
        <v>103</v>
      </c>
      <c r="K1050" s="659" t="s">
        <v>37</v>
      </c>
      <c r="L1050" s="659" t="s">
        <v>39</v>
      </c>
      <c r="M1050" s="659"/>
      <c r="N1050" s="659" t="s">
        <v>2271</v>
      </c>
      <c r="O1050" s="659" t="s">
        <v>2280</v>
      </c>
      <c r="P1050" s="659" t="s">
        <v>46</v>
      </c>
      <c r="Q1050" s="659" t="s">
        <v>62</v>
      </c>
      <c r="R1050" s="659"/>
      <c r="S1050" s="659"/>
      <c r="T1050" s="659"/>
      <c r="U1050" s="659"/>
      <c r="V1050" s="685" t="s">
        <v>27</v>
      </c>
      <c r="W1050" s="517"/>
      <c r="X1050" s="518"/>
      <c r="Z1050" s="187"/>
      <c r="AA1050" s="187"/>
    </row>
    <row r="1051" spans="1:27" s="186" customFormat="1" ht="15" customHeight="1" thickBot="1">
      <c r="A1051" s="215"/>
      <c r="B1051" s="194"/>
      <c r="C1051" s="133">
        <f>SUMIF(Densidades!A:A,'Memória TOTAL'!X1051,Densidades!B:B)</f>
        <v>0</v>
      </c>
      <c r="D1051" s="134">
        <f>SUMIF(Densidades!A:A,'Memória TOTAL'!X1051,Densidades!C:C)</f>
        <v>0</v>
      </c>
      <c r="E1051" s="135">
        <f>SUMIF(Formatos!A:A,'Memória TOTAL'!X1052,Formatos!E:E)</f>
        <v>0</v>
      </c>
      <c r="F1051" s="135">
        <f>SUMIF(Formatos!A:A,'Memória TOTAL'!X1052,Formatos!F:F)</f>
        <v>0</v>
      </c>
      <c r="G1051" s="135">
        <f>SUMIF(Formatos!A:A,'Memória TOTAL'!X1052,Formatos!C:C)</f>
        <v>0</v>
      </c>
      <c r="H1051" s="135">
        <f>SUMIF(Formatos!A:A,'Memória TOTAL'!X1052,Formatos!D:D)</f>
        <v>0</v>
      </c>
      <c r="I1051" s="135">
        <f>SUMIF(Densidades!A:A,'Memória TOTAL'!X1051,Densidades!H:H)</f>
        <v>0</v>
      </c>
      <c r="J1051" s="136">
        <f>SUMIF(Formatos!A:A,'Memória TOTAL'!X1052,Formatos!G:G)</f>
        <v>0</v>
      </c>
      <c r="K1051" s="222">
        <f>SUMIF(Densidades!A:A,'Memória TOTAL'!X1051,Densidades!I:I)</f>
        <v>0</v>
      </c>
      <c r="L1051" s="223">
        <v>0</v>
      </c>
      <c r="M1051" s="195"/>
      <c r="N1051" s="256"/>
      <c r="O1051" s="261"/>
      <c r="P1051" s="643"/>
      <c r="Q1051" s="261"/>
      <c r="R1051" s="195"/>
      <c r="S1051" s="195"/>
      <c r="T1051" s="232"/>
      <c r="U1051" s="235"/>
      <c r="V1051" s="686" t="str">
        <f>IF(SUM(S1065:S1115)=0,"-",SUM(S1065:S1115))</f>
        <v>-</v>
      </c>
      <c r="W1051" s="193" t="str">
        <f>IF(V1051="-","",ROUNDUP(SUM(V1051)*(1+L1051),0))</f>
        <v/>
      </c>
      <c r="X1051" s="263"/>
      <c r="Z1051" s="187"/>
      <c r="AA1051" s="187"/>
    </row>
    <row r="1052" spans="1:27" s="186" customFormat="1" ht="15" customHeight="1">
      <c r="A1052" s="215"/>
      <c r="B1052" s="194"/>
      <c r="C1052" s="200"/>
      <c r="D1052" s="195"/>
      <c r="E1052" s="195"/>
      <c r="F1052" s="195"/>
      <c r="G1052" s="195"/>
      <c r="H1052" s="195"/>
      <c r="I1052" s="195"/>
      <c r="J1052" s="196"/>
      <c r="K1052" s="196"/>
      <c r="L1052" s="144"/>
      <c r="M1052" s="195"/>
      <c r="N1052" s="195"/>
      <c r="O1052" s="195"/>
      <c r="P1052" s="195"/>
      <c r="Q1052" s="195"/>
      <c r="R1052" s="195"/>
      <c r="S1052" s="195"/>
      <c r="T1052" s="195"/>
      <c r="U1052" s="195"/>
      <c r="V1052" s="197"/>
      <c r="W1052" s="185"/>
      <c r="X1052" s="141" t="str">
        <f>IF(X1051="","",O1057)</f>
        <v/>
      </c>
      <c r="Z1052" s="187"/>
      <c r="AA1052" s="187"/>
    </row>
    <row r="1053" spans="1:27" s="186" customFormat="1" ht="15" customHeight="1">
      <c r="A1053" s="215"/>
      <c r="B1053" s="194"/>
      <c r="C1053" s="660"/>
      <c r="D1053" s="241"/>
      <c r="E1053" s="241"/>
      <c r="F1053" s="241"/>
      <c r="G1053" s="241"/>
      <c r="H1053" s="241"/>
      <c r="I1053" s="241"/>
      <c r="J1053" s="642"/>
      <c r="K1053" s="642"/>
      <c r="L1053" s="172"/>
      <c r="M1053" s="195"/>
      <c r="N1053" s="195"/>
      <c r="O1053" s="195"/>
      <c r="P1053" s="195"/>
      <c r="Q1053" s="195"/>
      <c r="R1053" s="195"/>
      <c r="S1053" s="195"/>
      <c r="T1053" s="195"/>
      <c r="U1053" s="195"/>
      <c r="V1053" s="197"/>
      <c r="W1053" s="185"/>
      <c r="X1053" s="141" t="s">
        <v>524</v>
      </c>
      <c r="Z1053" s="187"/>
      <c r="AA1053" s="187"/>
    </row>
    <row r="1054" spans="1:27" s="186" customFormat="1" ht="15" customHeight="1" thickBot="1">
      <c r="A1054" s="215"/>
      <c r="B1054" s="194"/>
      <c r="C1054" s="219" t="str">
        <f t="shared" ref="C1054:L1054" si="152">C1050</f>
        <v>Dens.</v>
      </c>
      <c r="D1054" s="661" t="str">
        <f t="shared" si="152"/>
        <v>Emb.</v>
      </c>
      <c r="E1054" s="661" t="str">
        <f t="shared" si="152"/>
        <v>Esp. Tij.</v>
      </c>
      <c r="F1054" s="661" t="str">
        <f t="shared" si="152"/>
        <v>Esp. Tij.</v>
      </c>
      <c r="G1054" s="661" t="str">
        <f t="shared" si="152"/>
        <v>Comp. Tij.</v>
      </c>
      <c r="H1054" s="661" t="str">
        <f t="shared" si="152"/>
        <v>Larg. Tij.</v>
      </c>
      <c r="I1054" s="661" t="str">
        <f t="shared" si="152"/>
        <v>Tipo Fator</v>
      </c>
      <c r="J1054" s="661" t="str">
        <f t="shared" si="152"/>
        <v>Vol.</v>
      </c>
      <c r="K1054" s="661" t="str">
        <f t="shared" si="152"/>
        <v>Class.</v>
      </c>
      <c r="L1054" s="661" t="str">
        <f t="shared" si="152"/>
        <v>Coefic. (%)</v>
      </c>
      <c r="M1054" s="195"/>
      <c r="N1054" s="195"/>
      <c r="O1054" s="195"/>
      <c r="P1054" s="195"/>
      <c r="Q1054" s="195"/>
      <c r="R1054" s="195"/>
      <c r="S1054" s="195"/>
      <c r="T1054" s="195"/>
      <c r="U1054" s="195"/>
      <c r="V1054" s="242"/>
      <c r="W1054" s="185"/>
      <c r="X1054" s="141"/>
      <c r="Z1054" s="187"/>
      <c r="AA1054" s="187"/>
    </row>
    <row r="1055" spans="1:27" s="186" customFormat="1" ht="15" customHeight="1" thickBot="1">
      <c r="A1055" s="215"/>
      <c r="B1055" s="194"/>
      <c r="C1055" s="133">
        <f>SUMIF(Densidades!A:A,'Memória TOTAL'!X1055,Densidades!B:B)</f>
        <v>0</v>
      </c>
      <c r="D1055" s="134">
        <f>SUMIF(Densidades!A:A,'Memória TOTAL'!X1055,Densidades!C:C)</f>
        <v>620</v>
      </c>
      <c r="E1055" s="135">
        <f>SUMIF(Formatos!A:A,'Memória TOTAL'!X1056,Formatos!E:E)</f>
        <v>0</v>
      </c>
      <c r="F1055" s="135">
        <f>SUMIF(Formatos!A:A,'Memória TOTAL'!X1056,Formatos!F:F)</f>
        <v>0</v>
      </c>
      <c r="G1055" s="135">
        <f>SUMIF(Formatos!A:A,'Memória TOTAL'!X1056,Formatos!C:C)</f>
        <v>0</v>
      </c>
      <c r="H1055" s="135">
        <f>SUMIF(Formatos!A:A,'Memória TOTAL'!X1056,Formatos!D:D)</f>
        <v>0</v>
      </c>
      <c r="I1055" s="135">
        <f>SUMIF(Densidades!A:A,'Memória TOTAL'!X1055,Densidades!H:H)</f>
        <v>0</v>
      </c>
      <c r="J1055" s="136">
        <f>SUMIF(Formatos!A:A,'Memória TOTAL'!X1056,Formatos!G:G)</f>
        <v>0</v>
      </c>
      <c r="K1055" s="222">
        <f>SUMIF(Densidades!A:A,'Memória TOTAL'!X1055,Densidades!I:I)</f>
        <v>177</v>
      </c>
      <c r="L1055" s="223">
        <v>0</v>
      </c>
      <c r="M1055" s="195"/>
      <c r="N1055" s="195"/>
      <c r="O1055" s="788" t="s">
        <v>1015</v>
      </c>
      <c r="P1055" s="789"/>
      <c r="Q1055" s="789"/>
      <c r="R1055" s="789"/>
      <c r="S1055" s="790"/>
      <c r="T1055" s="232"/>
      <c r="U1055" s="235"/>
      <c r="V1055" s="686" t="str">
        <f>IFERROR(IF(SUM(T1065:T1115)=0,"-",SUM(T1065:T1115)),"-")</f>
        <v>-</v>
      </c>
      <c r="W1055" s="193" t="str">
        <f>IF(V1055="-","",ROUNDUP(SUM(V1055)*(1+L1055),0))</f>
        <v/>
      </c>
      <c r="X1055" s="141" t="str">
        <f>IF(X1051="","",X1051)</f>
        <v/>
      </c>
      <c r="Z1055" s="187"/>
      <c r="AA1055" s="187"/>
    </row>
    <row r="1056" spans="1:27" s="186" customFormat="1" ht="15" customHeight="1" thickBot="1">
      <c r="A1056" s="215"/>
      <c r="B1056" s="194"/>
      <c r="C1056" s="200"/>
      <c r="D1056" s="195"/>
      <c r="E1056" s="195"/>
      <c r="F1056" s="195"/>
      <c r="G1056" s="195"/>
      <c r="H1056" s="195"/>
      <c r="I1056" s="195"/>
      <c r="J1056" s="196"/>
      <c r="K1056" s="196"/>
      <c r="L1056" s="144"/>
      <c r="M1056" s="195"/>
      <c r="N1056" s="642"/>
      <c r="O1056" s="665" t="s">
        <v>2278</v>
      </c>
      <c r="P1056" s="666" t="s">
        <v>1075</v>
      </c>
      <c r="Q1056" s="666" t="s">
        <v>2277</v>
      </c>
      <c r="R1056" s="666" t="s">
        <v>7</v>
      </c>
      <c r="S1056" s="687" t="s">
        <v>15</v>
      </c>
      <c r="T1056" s="195"/>
      <c r="U1056" s="195"/>
      <c r="V1056" s="197"/>
      <c r="W1056" s="185"/>
      <c r="X1056" s="141" t="str">
        <f>IF(X1055="","",O1058)</f>
        <v/>
      </c>
      <c r="Z1056" s="187"/>
      <c r="AA1056" s="187"/>
    </row>
    <row r="1057" spans="1:27" s="186" customFormat="1" ht="15" customHeight="1">
      <c r="A1057" s="215"/>
      <c r="B1057" s="194"/>
      <c r="C1057" s="660"/>
      <c r="D1057" s="241"/>
      <c r="E1057" s="241"/>
      <c r="F1057" s="241"/>
      <c r="G1057" s="241"/>
      <c r="H1057" s="241"/>
      <c r="I1057" s="241"/>
      <c r="J1057" s="642"/>
      <c r="K1057" s="642"/>
      <c r="L1057" s="172"/>
      <c r="M1057" s="195"/>
      <c r="N1057" s="662" t="s">
        <v>2272</v>
      </c>
      <c r="O1057" s="689"/>
      <c r="P1057" s="320" t="str">
        <f>IF(O1057="","",IF(VLOOKUP(O1057,Formatos!A:F,2,FALSE)="S",IF(VLOOKUP(O1058,Formatos!A:F,2,FALSE)="W",VLOOKUP(O1058,Formatos!A:F,4,FALSE),VLOOKUP(O1058,Formatos!A:F,3,FALSE)),IF(VLOOKUP(O1057,Formatos!A:F,2,FALSE)="W",VLOOKUP(O1057,Formatos!A:F,4,FALSE),VLOOKUP(O1057,Formatos!A:F,3,FALSE))))</f>
        <v/>
      </c>
      <c r="Q1057" s="320" t="str">
        <f>IF(O1057="","",IF(VLOOKUP(O1057,Formatos!A:F,2,FALSE)="S",IF(VLOOKUP(O1058,Formatos!A:F,2,FALSE)="W",VLOOKUP(O1058,Formatos!A:F,3,FALSE),VLOOKUP(O1058,Formatos!A:F,4,FALSE)),IF(VLOOKUP(O1057,Formatos!A:F,2,FALSE)="W",VLOOKUP(O1057,Formatos!A:F,3,FALSE),VLOOKUP(O1057,Formatos!A:F,4,FALSE))))</f>
        <v/>
      </c>
      <c r="R1057" s="692" t="str">
        <f>IF(O1057="","",VLOOKUP(O1057,Formatos!A:F,5,FALSE)+P1051)</f>
        <v/>
      </c>
      <c r="S1057" s="693" t="str">
        <f>IF(O1057="","",VLOOKUP(O1057,Formatos!A:F,6,FALSE)+P1051)</f>
        <v/>
      </c>
      <c r="T1057" s="195"/>
      <c r="U1057" s="195"/>
      <c r="V1057" s="197"/>
      <c r="W1057" s="185"/>
      <c r="X1057" s="141" t="s">
        <v>524</v>
      </c>
      <c r="Z1057" s="187"/>
      <c r="AA1057" s="187"/>
    </row>
    <row r="1058" spans="1:27" s="186" customFormat="1" ht="15" customHeight="1" thickBot="1">
      <c r="A1058" s="215"/>
      <c r="B1058" s="194"/>
      <c r="C1058" s="219" t="str">
        <f t="shared" ref="C1058:L1058" si="153">C1054</f>
        <v>Dens.</v>
      </c>
      <c r="D1058" s="661" t="str">
        <f t="shared" si="153"/>
        <v>Emb.</v>
      </c>
      <c r="E1058" s="661" t="str">
        <f t="shared" si="153"/>
        <v>Esp. Tij.</v>
      </c>
      <c r="F1058" s="661" t="str">
        <f t="shared" si="153"/>
        <v>Esp. Tij.</v>
      </c>
      <c r="G1058" s="661" t="str">
        <f t="shared" si="153"/>
        <v>Comp. Tij.</v>
      </c>
      <c r="H1058" s="661" t="str">
        <f t="shared" si="153"/>
        <v>Larg. Tij.</v>
      </c>
      <c r="I1058" s="661" t="str">
        <f t="shared" si="153"/>
        <v>Tipo Fator</v>
      </c>
      <c r="J1058" s="661" t="str">
        <f t="shared" si="153"/>
        <v>Vol.</v>
      </c>
      <c r="K1058" s="661" t="str">
        <f t="shared" si="153"/>
        <v>Class.</v>
      </c>
      <c r="L1058" s="661" t="str">
        <f t="shared" si="153"/>
        <v>Coefic. (%)</v>
      </c>
      <c r="M1058" s="195"/>
      <c r="N1058" s="663" t="s">
        <v>2273</v>
      </c>
      <c r="O1058" s="690"/>
      <c r="P1058" s="320" t="str">
        <f>IF(O1058="","",IF(VLOOKUP(O1058,Formatos!A:F,2,FALSE)="S",IF(VLOOKUP(O1059,Formatos!A:F,2,FALSE)="W",VLOOKUP(O1059,Formatos!A:F,4,FALSE),VLOOKUP(O1059,Formatos!A:F,3,FALSE)),IF(VLOOKUP(O1058,Formatos!A:F,2,FALSE)="W",VLOOKUP(O1058,Formatos!A:F,4,FALSE),VLOOKUP(O1058,Formatos!A:F,3,FALSE))))</f>
        <v/>
      </c>
      <c r="Q1058" s="320" t="str">
        <f>IF(O1058="","",IF(VLOOKUP(O1058,Formatos!A:F,2,FALSE)="S",IF(VLOOKUP(O1059,Formatos!A:F,2,FALSE)="W",VLOOKUP(O1059,Formatos!A:F,3,FALSE),VLOOKUP(O1059,Formatos!A:F,4,FALSE)),IF(VLOOKUP(O1058,Formatos!A:F,2,FALSE)="W",VLOOKUP(O1058,Formatos!A:F,3,FALSE),VLOOKUP(O1058,Formatos!A:F,4,FALSE))))</f>
        <v/>
      </c>
      <c r="R1058" s="692" t="str">
        <f>IF(O1058="","",VLOOKUP(O1058,Formatos!A:F,5,FALSE)+P1051)</f>
        <v/>
      </c>
      <c r="S1058" s="693" t="str">
        <f>IF(O1058="","",VLOOKUP(O1058,Formatos!A:F,6,FALSE)+P1051)</f>
        <v/>
      </c>
      <c r="T1058" s="195"/>
      <c r="U1058" s="195"/>
      <c r="V1058" s="242"/>
      <c r="W1058" s="185"/>
      <c r="X1058" s="141"/>
      <c r="Z1058" s="187"/>
      <c r="AA1058" s="187"/>
    </row>
    <row r="1059" spans="1:27" s="186" customFormat="1" ht="15" customHeight="1" thickBot="1">
      <c r="A1059" s="215"/>
      <c r="B1059" s="194"/>
      <c r="C1059" s="133">
        <f>SUMIF(Densidades!A:A,'Memória TOTAL'!X1059,Densidades!B:B)</f>
        <v>0</v>
      </c>
      <c r="D1059" s="134">
        <f>SUMIF(Densidades!A:A,'Memória TOTAL'!X1059,Densidades!C:C)</f>
        <v>620</v>
      </c>
      <c r="E1059" s="135">
        <f>SUMIF(Formatos!A:A,'Memória TOTAL'!X1060,Formatos!E:E)</f>
        <v>0</v>
      </c>
      <c r="F1059" s="135">
        <f>SUMIF(Formatos!A:A,'Memória TOTAL'!X1060,Formatos!F:F)</f>
        <v>0</v>
      </c>
      <c r="G1059" s="135">
        <f>SUMIF(Formatos!A:A,'Memória TOTAL'!X1060,Formatos!C:C)</f>
        <v>0</v>
      </c>
      <c r="H1059" s="135">
        <f>SUMIF(Formatos!A:A,'Memória TOTAL'!X1060,Formatos!D:D)</f>
        <v>0</v>
      </c>
      <c r="I1059" s="135">
        <f>SUMIF(Densidades!A:A,'Memória TOTAL'!X1059,Densidades!H:H)</f>
        <v>0</v>
      </c>
      <c r="J1059" s="136">
        <f>SUMIF(Formatos!A:A,'Memória TOTAL'!X1060,Formatos!G:G)</f>
        <v>0</v>
      </c>
      <c r="K1059" s="222">
        <f>SUMIF(Densidades!A:A,'Memória TOTAL'!X1059,Densidades!I:I)</f>
        <v>177</v>
      </c>
      <c r="L1059" s="223">
        <v>0</v>
      </c>
      <c r="M1059" s="195"/>
      <c r="N1059" s="664" t="s">
        <v>2274</v>
      </c>
      <c r="O1059" s="691"/>
      <c r="P1059" s="688" t="str">
        <f>IF(O1059="","",IF(VLOOKUP(O1059,Formatos!A:F,2,FALSE)="S",IF(VLOOKUP(#REF!,Formatos!A:F,2,FALSE)="W",VLOOKUP(#REF!,Formatos!A:F,4,FALSE),VLOOKUP(#REF!,Formatos!A:F,3,FALSE)),IF(VLOOKUP(O1059,Formatos!A:F,2,FALSE)="W",VLOOKUP(O1059,Formatos!A:F,4,FALSE),VLOOKUP(O1059,Formatos!A:F,3,FALSE))))</f>
        <v/>
      </c>
      <c r="Q1059" s="688" t="str">
        <f>IF(O1059="","",IF(VLOOKUP(O1059,Formatos!A:F,2,FALSE)="S",IF(VLOOKUP(#REF!,Formatos!A:F,2,FALSE)="W",VLOOKUP(#REF!,Formatos!A:F,3,FALSE),VLOOKUP(#REF!,Formatos!A:F,4,FALSE)),IF(VLOOKUP(O1059,Formatos!A:F,2,FALSE)="W",VLOOKUP(O1059,Formatos!A:F,3,FALSE),VLOOKUP(O1059,Formatos!A:F,4,FALSE))))</f>
        <v/>
      </c>
      <c r="R1059" s="694" t="str">
        <f>IF(O1059="","",VLOOKUP(O1059,Formatos!A:F,5,FALSE)+P1051)</f>
        <v/>
      </c>
      <c r="S1059" s="695" t="str">
        <f>IF(O1059="","",VLOOKUP(O1059,Formatos!A:F,6,FALSE)+P1051)</f>
        <v/>
      </c>
      <c r="T1059" s="232"/>
      <c r="U1059" s="235"/>
      <c r="V1059" s="686" t="str">
        <f>IFERROR(IF(SUM(U1065:U1115)=0,"-",SUM(U1065:U1115)),"-")</f>
        <v>-</v>
      </c>
      <c r="W1059" s="193" t="str">
        <f>IF(V1059="-","",ROUNDUP(SUM(V1059)*(1+L1059),0))</f>
        <v/>
      </c>
      <c r="X1059" s="141" t="str">
        <f>X1055</f>
        <v/>
      </c>
      <c r="Z1059" s="187"/>
      <c r="AA1059" s="187"/>
    </row>
    <row r="1060" spans="1:27" s="186" customFormat="1" ht="15" customHeight="1">
      <c r="A1060" s="215"/>
      <c r="B1060" s="194"/>
      <c r="C1060" s="200"/>
      <c r="D1060" s="195"/>
      <c r="E1060" s="195"/>
      <c r="F1060" s="195"/>
      <c r="G1060" s="195"/>
      <c r="H1060" s="195"/>
      <c r="I1060" s="195"/>
      <c r="J1060" s="196"/>
      <c r="K1060" s="196"/>
      <c r="L1060" s="144"/>
      <c r="M1060" s="195"/>
      <c r="N1060" s="195"/>
      <c r="O1060" s="195"/>
      <c r="P1060" s="195"/>
      <c r="Q1060" s="195"/>
      <c r="R1060" s="195"/>
      <c r="S1060" s="195"/>
      <c r="T1060" s="195"/>
      <c r="U1060" s="195"/>
      <c r="V1060" s="197"/>
      <c r="W1060" s="185"/>
      <c r="X1060" s="141" t="str">
        <f>IF(X1059="","",O1059)</f>
        <v/>
      </c>
      <c r="Z1060" s="187"/>
      <c r="AA1060" s="187"/>
    </row>
    <row r="1061" spans="1:27" s="186" customFormat="1" ht="15" customHeight="1">
      <c r="A1061" s="215"/>
      <c r="B1061" s="194"/>
      <c r="C1061" s="200"/>
      <c r="D1061" s="195"/>
      <c r="E1061" s="195"/>
      <c r="F1061" s="195"/>
      <c r="G1061" s="195"/>
      <c r="H1061" s="195"/>
      <c r="I1061" s="195"/>
      <c r="J1061" s="196"/>
      <c r="K1061" s="196"/>
      <c r="L1061" s="144"/>
      <c r="M1061" s="195"/>
      <c r="N1061" s="195"/>
      <c r="O1061" s="195"/>
      <c r="P1061" s="195"/>
      <c r="Q1061" s="195"/>
      <c r="R1061" s="195"/>
      <c r="S1061" s="195"/>
      <c r="T1061" s="195"/>
      <c r="U1061" s="195"/>
      <c r="V1061" s="197"/>
      <c r="W1061" s="185"/>
      <c r="X1061" s="141" t="s">
        <v>524</v>
      </c>
      <c r="Z1061" s="187"/>
      <c r="AA1061" s="187"/>
    </row>
    <row r="1062" spans="1:27" s="186" customFormat="1" ht="15" customHeight="1" thickBot="1">
      <c r="A1062" s="215"/>
      <c r="B1062" s="194"/>
      <c r="C1062" s="200"/>
      <c r="D1062" s="195"/>
      <c r="E1062" s="195"/>
      <c r="F1062" s="195"/>
      <c r="G1062" s="195"/>
      <c r="H1062" s="195"/>
      <c r="I1062" s="195"/>
      <c r="J1062" s="196"/>
      <c r="K1062" s="196"/>
      <c r="L1062" s="196"/>
      <c r="M1062" s="195"/>
      <c r="N1062" s="195"/>
      <c r="O1062" s="195"/>
      <c r="P1062" s="195"/>
      <c r="Q1062" s="195"/>
      <c r="R1062" s="195"/>
      <c r="S1062" s="241"/>
      <c r="T1062" s="241"/>
      <c r="U1062" s="241"/>
      <c r="V1062" s="197"/>
      <c r="W1062" s="185"/>
      <c r="X1062" s="141"/>
      <c r="Z1062" s="187"/>
      <c r="AA1062" s="187"/>
    </row>
    <row r="1063" spans="1:27" s="186" customFormat="1" ht="15" customHeight="1" thickBot="1">
      <c r="A1063" s="215"/>
      <c r="B1063" s="194"/>
      <c r="C1063" s="660"/>
      <c r="D1063" s="236"/>
      <c r="E1063" s="195"/>
      <c r="F1063" s="195"/>
      <c r="G1063" s="195"/>
      <c r="H1063" s="195"/>
      <c r="I1063" s="195"/>
      <c r="J1063" s="196"/>
      <c r="K1063" s="641"/>
      <c r="L1063" s="642"/>
      <c r="M1063" s="241"/>
      <c r="N1063" s="241"/>
      <c r="O1063" s="241"/>
      <c r="P1063" s="673" t="s">
        <v>2272</v>
      </c>
      <c r="Q1063" s="683" t="s">
        <v>2273</v>
      </c>
      <c r="R1063" s="684" t="s">
        <v>2274</v>
      </c>
      <c r="S1063" s="673" t="s">
        <v>2272</v>
      </c>
      <c r="T1063" s="683" t="s">
        <v>2273</v>
      </c>
      <c r="U1063" s="684" t="s">
        <v>2274</v>
      </c>
      <c r="V1063" s="333"/>
      <c r="W1063" s="185"/>
      <c r="X1063" s="141"/>
      <c r="Z1063" s="187"/>
      <c r="AA1063" s="187"/>
    </row>
    <row r="1064" spans="1:27" s="186" customFormat="1" ht="15" customHeight="1" thickBot="1">
      <c r="A1064" s="215"/>
      <c r="B1064" s="194"/>
      <c r="C1064" s="672" t="s">
        <v>2279</v>
      </c>
      <c r="D1064" s="236"/>
      <c r="E1064" s="195"/>
      <c r="F1064" s="195"/>
      <c r="G1064" s="195"/>
      <c r="H1064" s="195"/>
      <c r="I1064" s="195"/>
      <c r="J1064" s="196"/>
      <c r="K1064" s="641"/>
      <c r="L1064" s="673" t="s">
        <v>2271</v>
      </c>
      <c r="M1064" s="674" t="s">
        <v>2275</v>
      </c>
      <c r="N1064" s="675" t="s">
        <v>2276</v>
      </c>
      <c r="O1064" s="676" t="s">
        <v>1022</v>
      </c>
      <c r="P1064" s="677" t="str">
        <f>IF(O1057="","",O1057)</f>
        <v/>
      </c>
      <c r="Q1064" s="678" t="str">
        <f>IF(O1058="","",O1058)</f>
        <v/>
      </c>
      <c r="R1064" s="679" t="str">
        <f>IF(O1059="","",O1059)</f>
        <v/>
      </c>
      <c r="S1064" s="680" t="str">
        <f>IF(O1057="","",O1057)</f>
        <v/>
      </c>
      <c r="T1064" s="681" t="str">
        <f>IF(O1058="","",O1058)</f>
        <v/>
      </c>
      <c r="U1064" s="682" t="str">
        <f>IF(O1059="","",O1059)</f>
        <v/>
      </c>
      <c r="V1064" s="333"/>
      <c r="W1064" s="185"/>
      <c r="X1064" s="141"/>
      <c r="Z1064" s="187"/>
      <c r="AA1064" s="187"/>
    </row>
    <row r="1065" spans="1:27" s="186" customFormat="1" ht="15" customHeight="1">
      <c r="A1065" s="215"/>
      <c r="B1065" s="168"/>
      <c r="C1065" s="667" t="str">
        <f>IF(Q1051="","",1)</f>
        <v/>
      </c>
      <c r="D1065" s="236"/>
      <c r="E1065" s="195"/>
      <c r="F1065" s="195"/>
      <c r="G1065" s="195"/>
      <c r="H1065" s="195"/>
      <c r="I1065" s="195"/>
      <c r="J1065" s="196"/>
      <c r="K1065" s="641"/>
      <c r="L1065" s="646" t="str">
        <f>IF(C1065="","",N1051)</f>
        <v/>
      </c>
      <c r="M1065" s="706" t="str">
        <f>IF(C1065="","",L1065-Q1058*COS(O1051*PI()/180))</f>
        <v/>
      </c>
      <c r="N1065" s="707" t="str">
        <f>IF(C1065="","",L1065+P1058*SIN(O1051*PI()/180))</f>
        <v/>
      </c>
      <c r="O1065" s="653" t="str">
        <f>IF(C1065="","-",360)</f>
        <v>-</v>
      </c>
      <c r="P1065" s="701" t="str">
        <f>IF(C1065="","",(PI()*O1065/180*(R1059*M1065-N1065*S1059)-Q1065*(S1058*R1059-S1059*R1058))/S1057/(R1059-S1059))</f>
        <v/>
      </c>
      <c r="Q1065" s="702" t="str">
        <f>IF(C1065="","",O1065/180*PI()*(L1065-M1065)/(R1058-S1058))</f>
        <v/>
      </c>
      <c r="R1065" s="650" t="str">
        <f>IF(C1065="","",(O1065/180*PI()*N1065-Q1065*R1058-S1065*S1057)/R1059)</f>
        <v/>
      </c>
      <c r="S1065" s="649" t="str">
        <f>IF(C1065="","",ROUNDUP(P1065,0))</f>
        <v/>
      </c>
      <c r="T1065" s="696" t="str">
        <f>IF(C1065="","",ROUNDUP(Q1065,0))</f>
        <v/>
      </c>
      <c r="U1065" s="697" t="str">
        <f>IF(C1065="","",ROUNDUP(R1065,0))</f>
        <v/>
      </c>
      <c r="V1065" s="333"/>
      <c r="W1065" s="185"/>
      <c r="X1065" s="141"/>
      <c r="Z1065" s="187"/>
      <c r="AA1065" s="187"/>
    </row>
    <row r="1066" spans="1:27" s="186" customFormat="1" ht="15" customHeight="1">
      <c r="A1066" s="215"/>
      <c r="B1066" s="168"/>
      <c r="C1066" s="668" t="str">
        <f>IF(Q1051="","",IF(C1065="","",IF(C1065+1&lt;=Q1051,C1065+1,"")))</f>
        <v/>
      </c>
      <c r="D1066" s="236"/>
      <c r="E1066" s="195"/>
      <c r="F1066" s="195"/>
      <c r="G1066" s="195"/>
      <c r="H1066" s="195"/>
      <c r="I1066" s="195"/>
      <c r="J1066" s="196"/>
      <c r="K1066" s="641"/>
      <c r="L1066" s="647" t="str">
        <f>IF(C1066="","",N1065)</f>
        <v/>
      </c>
      <c r="M1066" s="651" t="str">
        <f>IF(C1066="","",L1066-Q1058*COS(O1051*PI()/180))</f>
        <v/>
      </c>
      <c r="N1066" s="652" t="str">
        <f>IF(C1066="","",L1066+P1058*SIN(O1051*PI()/180))</f>
        <v/>
      </c>
      <c r="O1066" s="644" t="str">
        <f>IF(C1066="","-",O1065)</f>
        <v>-</v>
      </c>
      <c r="P1066" s="654" t="str">
        <f>IF(C1066="","",(PI()*O1066/180*(R1059*M1066-N1066*S1059)-Q1066*(S1058*R1059-S1059*R1058))/S1057/(R1059-S1059))</f>
        <v/>
      </c>
      <c r="Q1066" s="655" t="str">
        <f>IF(C1066="","",O1066/180*PI()*(L1066-M1066)/(R1058-S1058))</f>
        <v/>
      </c>
      <c r="R1066" s="656" t="str">
        <f>IF(C1066="","",(O1066/180*PI()*N1066-Q1066*R1058-S1066*S1057)/R1059)</f>
        <v/>
      </c>
      <c r="S1066" s="657" t="str">
        <f t="shared" ref="S1066:S1114" si="154">IF(C1066="","",ROUNDUP(P1066,0))</f>
        <v/>
      </c>
      <c r="T1066" s="670" t="str">
        <f t="shared" ref="T1066:T1114" si="155">IF(C1066="","",ROUNDUP(Q1066,0))</f>
        <v/>
      </c>
      <c r="U1066" s="671" t="str">
        <f t="shared" ref="U1066:U1114" si="156">IF(C1066="","",ROUNDUP(R1066,0))</f>
        <v/>
      </c>
      <c r="V1066" s="333"/>
      <c r="W1066" s="185"/>
      <c r="X1066" s="141"/>
      <c r="Z1066" s="187"/>
      <c r="AA1066" s="187"/>
    </row>
    <row r="1067" spans="1:27" s="186" customFormat="1" ht="15" customHeight="1">
      <c r="A1067" s="215"/>
      <c r="B1067" s="168"/>
      <c r="C1067" s="668" t="str">
        <f>IF(Q1051="","",IF(C1066="","",IF(C1066+1&lt;=Q1051,C1066+1,"")))</f>
        <v/>
      </c>
      <c r="D1067" s="236"/>
      <c r="E1067" s="195"/>
      <c r="F1067" s="195"/>
      <c r="G1067" s="195"/>
      <c r="H1067" s="195"/>
      <c r="I1067" s="195"/>
      <c r="J1067" s="196"/>
      <c r="K1067" s="641"/>
      <c r="L1067" s="647" t="str">
        <f t="shared" ref="L1067:L1114" si="157">IF(C1067="","",N1066)</f>
        <v/>
      </c>
      <c r="M1067" s="651" t="str">
        <f>IF(C1067="","",L1067-Q1058*COS(O1051*PI()/180))</f>
        <v/>
      </c>
      <c r="N1067" s="652" t="str">
        <f>IF(C1067="","",L1067+P1058*SIN(O1051*PI()/180))</f>
        <v/>
      </c>
      <c r="O1067" s="644" t="str">
        <f t="shared" ref="O1067:O1114" si="158">O1066</f>
        <v>-</v>
      </c>
      <c r="P1067" s="654" t="str">
        <f>IF(C1067="","",(PI()*O1067/180*(R1059*M1067-N1067*S1059)-Q1067*(S1058*R1059-S1059*R1058))/S1057/(R1059-S1059))</f>
        <v/>
      </c>
      <c r="Q1067" s="655" t="str">
        <f>IF(C1067="","",O1067/180*PI()*(L1067-M1067)/(R1058-S1058))</f>
        <v/>
      </c>
      <c r="R1067" s="656" t="str">
        <f>IF(C1067="","",(O1067/180*PI()*N1067-Q1067*R1058-S1067*S1057)/R1059)</f>
        <v/>
      </c>
      <c r="S1067" s="657" t="str">
        <f t="shared" si="154"/>
        <v/>
      </c>
      <c r="T1067" s="670" t="str">
        <f t="shared" si="155"/>
        <v/>
      </c>
      <c r="U1067" s="671" t="str">
        <f t="shared" si="156"/>
        <v/>
      </c>
      <c r="V1067" s="333"/>
      <c r="W1067" s="185"/>
      <c r="X1067" s="141"/>
      <c r="Z1067" s="187"/>
      <c r="AA1067" s="187"/>
    </row>
    <row r="1068" spans="1:27" s="186" customFormat="1" ht="15" customHeight="1">
      <c r="A1068" s="215"/>
      <c r="B1068" s="168"/>
      <c r="C1068" s="668" t="str">
        <f>IF(Q1051="","",IF(C1067="","",IF(C1067+1&lt;=Q1051,C1067+1,"")))</f>
        <v/>
      </c>
      <c r="D1068" s="236"/>
      <c r="E1068" s="195"/>
      <c r="F1068" s="195"/>
      <c r="G1068" s="195"/>
      <c r="H1068" s="195"/>
      <c r="I1068" s="195"/>
      <c r="J1068" s="196"/>
      <c r="K1068" s="641"/>
      <c r="L1068" s="647" t="str">
        <f t="shared" si="157"/>
        <v/>
      </c>
      <c r="M1068" s="651" t="str">
        <f>IF(C1068="","",L1068-Q1058*COS(O1051*PI()/180))</f>
        <v/>
      </c>
      <c r="N1068" s="652" t="str">
        <f>IF(C1068="","",L1068+P1058*SIN(O1051*PI()/180))</f>
        <v/>
      </c>
      <c r="O1068" s="644" t="str">
        <f t="shared" si="158"/>
        <v>-</v>
      </c>
      <c r="P1068" s="654" t="str">
        <f>IF(C1068="","",(PI()*O1068/180*(R1059*M1068-N1068*S1059)-Q1068*(S1058*R1059-S1059*R1058))/S1057/(R1059-S1059))</f>
        <v/>
      </c>
      <c r="Q1068" s="655" t="str">
        <f>IF(C1068="","",O1068/180*PI()*(L1068-M1068)/(R1058-S1058))</f>
        <v/>
      </c>
      <c r="R1068" s="656" t="str">
        <f>IF(C1068="","",(O1068/180*PI()*N1068-Q1068*R1058-S1068*S1057)/R1059)</f>
        <v/>
      </c>
      <c r="S1068" s="657" t="str">
        <f t="shared" si="154"/>
        <v/>
      </c>
      <c r="T1068" s="670" t="str">
        <f t="shared" si="155"/>
        <v/>
      </c>
      <c r="U1068" s="671" t="str">
        <f t="shared" si="156"/>
        <v/>
      </c>
      <c r="V1068" s="333"/>
      <c r="W1068" s="185"/>
      <c r="X1068" s="141"/>
      <c r="Z1068" s="187"/>
      <c r="AA1068" s="187"/>
    </row>
    <row r="1069" spans="1:27" s="186" customFormat="1" ht="15" customHeight="1">
      <c r="A1069" s="215"/>
      <c r="B1069" s="168"/>
      <c r="C1069" s="668" t="str">
        <f>IF(Q1051="","",IF(C1068="","",IF(C1068+1&lt;=Q1051,C1068+1,"")))</f>
        <v/>
      </c>
      <c r="D1069" s="236"/>
      <c r="E1069" s="195"/>
      <c r="F1069" s="195"/>
      <c r="G1069" s="195"/>
      <c r="H1069" s="195"/>
      <c r="I1069" s="195"/>
      <c r="J1069" s="196"/>
      <c r="K1069" s="641"/>
      <c r="L1069" s="647" t="str">
        <f t="shared" si="157"/>
        <v/>
      </c>
      <c r="M1069" s="651" t="str">
        <f>IF(C1069="","",L1069-Q1058*COS(O1051*PI()/180))</f>
        <v/>
      </c>
      <c r="N1069" s="652" t="str">
        <f>IF(C1069="","",L1069+P1058*SIN(O1051*PI()/180))</f>
        <v/>
      </c>
      <c r="O1069" s="644" t="str">
        <f t="shared" si="158"/>
        <v>-</v>
      </c>
      <c r="P1069" s="654" t="str">
        <f>IF(C1069="","",(PI()*O1069/180*(R1059*M1069-N1069*S1059)-Q1069*(S1058*R1059-S1059*R1058))/S1057/(R1059-S1059))</f>
        <v/>
      </c>
      <c r="Q1069" s="655" t="str">
        <f>IF(C1069="","",O1069/180*PI()*(L1069-M1069)/(R1058-S1058))</f>
        <v/>
      </c>
      <c r="R1069" s="656" t="str">
        <f>IF(C1069="","",(O1069/180*PI()*N1069-Q1069*R1058-S1069*S1057)/R1059)</f>
        <v/>
      </c>
      <c r="S1069" s="657" t="str">
        <f t="shared" si="154"/>
        <v/>
      </c>
      <c r="T1069" s="670" t="str">
        <f t="shared" si="155"/>
        <v/>
      </c>
      <c r="U1069" s="671" t="str">
        <f t="shared" si="156"/>
        <v/>
      </c>
      <c r="V1069" s="333"/>
      <c r="W1069" s="185"/>
      <c r="X1069" s="141"/>
      <c r="Z1069" s="187"/>
      <c r="AA1069" s="187"/>
    </row>
    <row r="1070" spans="1:27" s="186" customFormat="1" ht="15" customHeight="1">
      <c r="A1070" s="215"/>
      <c r="B1070" s="168"/>
      <c r="C1070" s="668" t="str">
        <f>IF(Q1051="","",IF(C1069="","",IF(C1069+1&lt;=Q1051,C1069+1,"")))</f>
        <v/>
      </c>
      <c r="D1070" s="236"/>
      <c r="E1070" s="195"/>
      <c r="F1070" s="195"/>
      <c r="G1070" s="195"/>
      <c r="H1070" s="195"/>
      <c r="I1070" s="195"/>
      <c r="J1070" s="196"/>
      <c r="K1070" s="641"/>
      <c r="L1070" s="647" t="str">
        <f t="shared" si="157"/>
        <v/>
      </c>
      <c r="M1070" s="651" t="str">
        <f>IF(C1070="","",L1070-Q1058*COS(O1051*PI()/180))</f>
        <v/>
      </c>
      <c r="N1070" s="652" t="str">
        <f>IF(C1070="","",L1070+P1058*SIN(O1051*PI()/180))</f>
        <v/>
      </c>
      <c r="O1070" s="644" t="str">
        <f t="shared" si="158"/>
        <v>-</v>
      </c>
      <c r="P1070" s="654" t="str">
        <f>IF(C1070="","",(PI()*O1070/180*(R1059*M1070-N1070*S1059)-Q1070*(S1058*R1059-S1059*R1058))/S1057/(R1059-S1059))</f>
        <v/>
      </c>
      <c r="Q1070" s="655" t="str">
        <f>IF(C1070="","",O1070/180*PI()*(L1070-M1070)/(R1058-S1058))</f>
        <v/>
      </c>
      <c r="R1070" s="656" t="str">
        <f>IF(C1070="","",(O1070/180*PI()*N1070-Q1070*R1058-S1070*S1057)/R1059)</f>
        <v/>
      </c>
      <c r="S1070" s="657" t="str">
        <f t="shared" si="154"/>
        <v/>
      </c>
      <c r="T1070" s="670" t="str">
        <f t="shared" si="155"/>
        <v/>
      </c>
      <c r="U1070" s="671" t="str">
        <f t="shared" si="156"/>
        <v/>
      </c>
      <c r="V1070" s="333"/>
      <c r="W1070" s="185"/>
      <c r="X1070" s="141"/>
      <c r="Z1070" s="187"/>
      <c r="AA1070" s="187"/>
    </row>
    <row r="1071" spans="1:27" s="186" customFormat="1" ht="15" customHeight="1">
      <c r="A1071" s="215"/>
      <c r="B1071" s="168"/>
      <c r="C1071" s="668" t="str">
        <f>IF(Q1051="","",IF(C1070="","",IF(C1070+1&lt;=Q1051,C1070+1,"")))</f>
        <v/>
      </c>
      <c r="D1071" s="236"/>
      <c r="E1071" s="195"/>
      <c r="F1071" s="195"/>
      <c r="G1071" s="195"/>
      <c r="H1071" s="195"/>
      <c r="I1071" s="195"/>
      <c r="J1071" s="196"/>
      <c r="K1071" s="641"/>
      <c r="L1071" s="647" t="str">
        <f t="shared" si="157"/>
        <v/>
      </c>
      <c r="M1071" s="651" t="str">
        <f>IF(C1071="","",L1071-Q1058*COS(O1051*PI()/180))</f>
        <v/>
      </c>
      <c r="N1071" s="652" t="str">
        <f>IF(C1071="","",L1071+P1058*SIN(O1051*PI()/180))</f>
        <v/>
      </c>
      <c r="O1071" s="644" t="str">
        <f t="shared" si="158"/>
        <v>-</v>
      </c>
      <c r="P1071" s="654" t="str">
        <f>IF(C1071="","",(PI()*O1071/180*(R1059*M1071-N1071*S1059)-Q1071*(S1058*R1059-S1059*R1058))/S1057/(R1059-S1059))</f>
        <v/>
      </c>
      <c r="Q1071" s="655" t="str">
        <f>IF(C1071="","",O1071/180*PI()*(L1071-M1071)/(R1058-S1058))</f>
        <v/>
      </c>
      <c r="R1071" s="656" t="str">
        <f>IF(C1071="","",(O1071/180*PI()*N1071-Q1071*R1058-S1071*S1057)/R1059)</f>
        <v/>
      </c>
      <c r="S1071" s="657" t="str">
        <f t="shared" si="154"/>
        <v/>
      </c>
      <c r="T1071" s="670" t="str">
        <f t="shared" si="155"/>
        <v/>
      </c>
      <c r="U1071" s="671" t="str">
        <f t="shared" si="156"/>
        <v/>
      </c>
      <c r="V1071" s="333"/>
      <c r="W1071" s="185"/>
      <c r="X1071" s="141"/>
      <c r="Z1071" s="187"/>
      <c r="AA1071" s="187"/>
    </row>
    <row r="1072" spans="1:27" s="186" customFormat="1" ht="15" customHeight="1">
      <c r="A1072" s="215"/>
      <c r="B1072" s="168"/>
      <c r="C1072" s="668" t="str">
        <f>IF(Q1051="","",IF(C1071="","",IF(C1071+1&lt;=Q1051,C1071+1,"")))</f>
        <v/>
      </c>
      <c r="D1072" s="236"/>
      <c r="E1072" s="195"/>
      <c r="F1072" s="195"/>
      <c r="G1072" s="195"/>
      <c r="H1072" s="195"/>
      <c r="I1072" s="195"/>
      <c r="J1072" s="196"/>
      <c r="K1072" s="641"/>
      <c r="L1072" s="647" t="str">
        <f t="shared" si="157"/>
        <v/>
      </c>
      <c r="M1072" s="651" t="str">
        <f>IF(C1072="","",L1072-Q1058*COS(O1051*PI()/180))</f>
        <v/>
      </c>
      <c r="N1072" s="652" t="str">
        <f>IF(C1072="","",L1072+P1058*SIN(O1051*PI()/180))</f>
        <v/>
      </c>
      <c r="O1072" s="644" t="str">
        <f t="shared" si="158"/>
        <v>-</v>
      </c>
      <c r="P1072" s="654" t="str">
        <f>IF(C1072="","",(PI()*O1072/180*(R1059*M1072-N1072*S1059)-Q1072*(S1058*R1059-S1059*R1058))/S1057/(R1059-S1059))</f>
        <v/>
      </c>
      <c r="Q1072" s="655" t="str">
        <f>IF(C1072="","",O1072/180*PI()*(L1072-M1072)/(R1058-S1058))</f>
        <v/>
      </c>
      <c r="R1072" s="656" t="str">
        <f>IF(C1072="","",(O1072/180*PI()*N1072-Q1072*R1058-S1072*S1057)/R1059)</f>
        <v/>
      </c>
      <c r="S1072" s="657" t="str">
        <f t="shared" si="154"/>
        <v/>
      </c>
      <c r="T1072" s="670" t="str">
        <f t="shared" si="155"/>
        <v/>
      </c>
      <c r="U1072" s="671" t="str">
        <f t="shared" si="156"/>
        <v/>
      </c>
      <c r="V1072" s="333"/>
      <c r="W1072" s="185"/>
      <c r="X1072" s="141"/>
      <c r="Z1072" s="187"/>
      <c r="AA1072" s="187"/>
    </row>
    <row r="1073" spans="1:27" s="186" customFormat="1" ht="15" customHeight="1">
      <c r="A1073" s="215"/>
      <c r="B1073" s="168"/>
      <c r="C1073" s="668" t="str">
        <f>IF(Q1051="","",IF(C1072="","",IF(C1072+1&lt;=Q1051,C1072+1,"")))</f>
        <v/>
      </c>
      <c r="D1073" s="236"/>
      <c r="E1073" s="195"/>
      <c r="F1073" s="195"/>
      <c r="G1073" s="195"/>
      <c r="H1073" s="195"/>
      <c r="I1073" s="195"/>
      <c r="J1073" s="196"/>
      <c r="K1073" s="641"/>
      <c r="L1073" s="647" t="str">
        <f t="shared" si="157"/>
        <v/>
      </c>
      <c r="M1073" s="651" t="str">
        <f>IF(C1073="","",L1073-Q1058*COS(O1051*PI()/180))</f>
        <v/>
      </c>
      <c r="N1073" s="652" t="str">
        <f>IF(C1073="","",L1073+P1058*SIN(O1051*PI()/180))</f>
        <v/>
      </c>
      <c r="O1073" s="644" t="str">
        <f t="shared" si="158"/>
        <v>-</v>
      </c>
      <c r="P1073" s="654" t="str">
        <f>IF(C1073="","",(PI()*O1073/180*(R1059*M1073-N1073*S1059)-Q1073*(S1058*R1059-S1059*R1058))/S1057/(R1059-S1059))</f>
        <v/>
      </c>
      <c r="Q1073" s="655" t="str">
        <f>IF(C1073="","",O1073/180*PI()*(L1073-M1073)/(R1058-S1058))</f>
        <v/>
      </c>
      <c r="R1073" s="656" t="str">
        <f>IF(C1073="","",(O1073/180*PI()*N1073-Q1073*R1058-S1073*S1057)/R1059)</f>
        <v/>
      </c>
      <c r="S1073" s="657" t="str">
        <f t="shared" si="154"/>
        <v/>
      </c>
      <c r="T1073" s="670" t="str">
        <f t="shared" si="155"/>
        <v/>
      </c>
      <c r="U1073" s="671" t="str">
        <f t="shared" si="156"/>
        <v/>
      </c>
      <c r="V1073" s="333"/>
      <c r="W1073" s="185"/>
      <c r="X1073" s="141"/>
      <c r="Z1073" s="187"/>
      <c r="AA1073" s="187"/>
    </row>
    <row r="1074" spans="1:27" s="186" customFormat="1" ht="15" customHeight="1">
      <c r="A1074" s="215"/>
      <c r="B1074" s="168"/>
      <c r="C1074" s="668" t="str">
        <f>IF(Q1051="","",IF(C1073="","",IF(C1073+1&lt;=Q1051,C1073+1,"")))</f>
        <v/>
      </c>
      <c r="D1074" s="236"/>
      <c r="E1074" s="195"/>
      <c r="F1074" s="195"/>
      <c r="G1074" s="195"/>
      <c r="H1074" s="195"/>
      <c r="I1074" s="195"/>
      <c r="J1074" s="196"/>
      <c r="K1074" s="641"/>
      <c r="L1074" s="647" t="str">
        <f t="shared" si="157"/>
        <v/>
      </c>
      <c r="M1074" s="651" t="str">
        <f>IF(C1074="","",L1074-Q1058*COS(O1051*PI()/180))</f>
        <v/>
      </c>
      <c r="N1074" s="652" t="str">
        <f>IF(C1074="","",L1074+P1058*SIN(O1051*PI()/180))</f>
        <v/>
      </c>
      <c r="O1074" s="644" t="str">
        <f t="shared" si="158"/>
        <v>-</v>
      </c>
      <c r="P1074" s="654" t="str">
        <f>IF(C1074="","",(PI()*O1074/180*(R1059*M1074-N1074*S1059)-Q1074*(S1058*R1059-S1059*R1058))/S1057/(R1059-S1059))</f>
        <v/>
      </c>
      <c r="Q1074" s="655" t="str">
        <f>IF(C1074="","",O1074/180*PI()*(L1074-M1074)/(R1058-S1058))</f>
        <v/>
      </c>
      <c r="R1074" s="656" t="str">
        <f>IF(C1074="","",(O1074/180*PI()*N1074-Q1074*R1058-S1074*S1057)/R1059)</f>
        <v/>
      </c>
      <c r="S1074" s="657" t="str">
        <f t="shared" si="154"/>
        <v/>
      </c>
      <c r="T1074" s="670" t="str">
        <f t="shared" si="155"/>
        <v/>
      </c>
      <c r="U1074" s="671" t="str">
        <f t="shared" si="156"/>
        <v/>
      </c>
      <c r="V1074" s="333"/>
      <c r="W1074" s="185"/>
      <c r="X1074" s="141"/>
      <c r="Z1074" s="187"/>
      <c r="AA1074" s="187"/>
    </row>
    <row r="1075" spans="1:27" s="186" customFormat="1" ht="15" customHeight="1">
      <c r="A1075" s="215"/>
      <c r="B1075" s="168"/>
      <c r="C1075" s="668" t="str">
        <f>IF(Q1051="","",IF(C1074="","",IF(C1074+1&lt;=Q1051,C1074+1,"")))</f>
        <v/>
      </c>
      <c r="D1075" s="236"/>
      <c r="E1075" s="195"/>
      <c r="F1075" s="195"/>
      <c r="G1075" s="195"/>
      <c r="H1075" s="195"/>
      <c r="I1075" s="195"/>
      <c r="J1075" s="196"/>
      <c r="K1075" s="641"/>
      <c r="L1075" s="647" t="str">
        <f t="shared" si="157"/>
        <v/>
      </c>
      <c r="M1075" s="651" t="str">
        <f>IF(C1075="","",L1075-Q1058*COS(O1051*PI()/180))</f>
        <v/>
      </c>
      <c r="N1075" s="652" t="str">
        <f>IF(C1075="","",L1075+P1058*SIN(O1051*PI()/180))</f>
        <v/>
      </c>
      <c r="O1075" s="644" t="str">
        <f t="shared" si="158"/>
        <v>-</v>
      </c>
      <c r="P1075" s="654" t="str">
        <f>IF(C1075="","",(PI()*O1075/180*(R1059*M1075-N1075*S1059)-Q1075*(S1058*R1059-S1059*R1058))/S1057/(R1059-S1059))</f>
        <v/>
      </c>
      <c r="Q1075" s="655" t="str">
        <f>IF(C1075="","",O1075/180*PI()*(L1075-M1075)/(R1058-S1058))</f>
        <v/>
      </c>
      <c r="R1075" s="656" t="str">
        <f>IF(C1075="","",(O1075/180*PI()*N1075-Q1075*R1058-S1075*S1057)/R1059)</f>
        <v/>
      </c>
      <c r="S1075" s="657" t="str">
        <f t="shared" si="154"/>
        <v/>
      </c>
      <c r="T1075" s="670" t="str">
        <f t="shared" si="155"/>
        <v/>
      </c>
      <c r="U1075" s="671" t="str">
        <f t="shared" si="156"/>
        <v/>
      </c>
      <c r="V1075" s="333"/>
      <c r="W1075" s="185"/>
      <c r="X1075" s="141"/>
      <c r="Z1075" s="187"/>
      <c r="AA1075" s="187"/>
    </row>
    <row r="1076" spans="1:27" s="186" customFormat="1" ht="15" customHeight="1">
      <c r="A1076" s="215"/>
      <c r="B1076" s="168"/>
      <c r="C1076" s="668" t="str">
        <f>IF(Q1051="","",IF(C1075="","",IF(C1075+1&lt;=Q1051,C1075+1,"")))</f>
        <v/>
      </c>
      <c r="D1076" s="236"/>
      <c r="E1076" s="195"/>
      <c r="F1076" s="195"/>
      <c r="G1076" s="195"/>
      <c r="H1076" s="195"/>
      <c r="I1076" s="195"/>
      <c r="J1076" s="196"/>
      <c r="K1076" s="641"/>
      <c r="L1076" s="647" t="str">
        <f t="shared" si="157"/>
        <v/>
      </c>
      <c r="M1076" s="651" t="str">
        <f>IF(C1076="","",L1076-Q1058*COS(O1051*PI()/180))</f>
        <v/>
      </c>
      <c r="N1076" s="652" t="str">
        <f>IF(C1076="","",L1076+P1058*SIN(O1051*PI()/180))</f>
        <v/>
      </c>
      <c r="O1076" s="644" t="str">
        <f t="shared" si="158"/>
        <v>-</v>
      </c>
      <c r="P1076" s="654" t="str">
        <f>IF(C1076="","",(PI()*O1076/180*(R1059*M1076-N1076*S1059)-Q1076*(S1058*R1059-S1059*R1058))/S1057/(R1059-S1059))</f>
        <v/>
      </c>
      <c r="Q1076" s="655" t="str">
        <f>IF(C1076="","",O1076/180*PI()*(L1076-M1076)/(R1058-S1058))</f>
        <v/>
      </c>
      <c r="R1076" s="656" t="str">
        <f>IF(C1076="","",(O1076/180*PI()*N1076-Q1076*R1058-S1076*S1057)/R1059)</f>
        <v/>
      </c>
      <c r="S1076" s="657" t="str">
        <f t="shared" si="154"/>
        <v/>
      </c>
      <c r="T1076" s="670" t="str">
        <f t="shared" si="155"/>
        <v/>
      </c>
      <c r="U1076" s="671" t="str">
        <f t="shared" si="156"/>
        <v/>
      </c>
      <c r="V1076" s="333"/>
      <c r="W1076" s="185"/>
      <c r="X1076" s="141"/>
      <c r="Z1076" s="187"/>
      <c r="AA1076" s="187"/>
    </row>
    <row r="1077" spans="1:27" s="186" customFormat="1" ht="15" customHeight="1">
      <c r="A1077" s="215"/>
      <c r="B1077" s="168"/>
      <c r="C1077" s="668" t="str">
        <f>IF(Q1051="","",IF(C1076="","",IF(C1076+1&lt;=Q1051,C1076+1,"")))</f>
        <v/>
      </c>
      <c r="D1077" s="236"/>
      <c r="E1077" s="195"/>
      <c r="F1077" s="195"/>
      <c r="G1077" s="195"/>
      <c r="H1077" s="195"/>
      <c r="I1077" s="195"/>
      <c r="J1077" s="196"/>
      <c r="K1077" s="641"/>
      <c r="L1077" s="647" t="str">
        <f t="shared" si="157"/>
        <v/>
      </c>
      <c r="M1077" s="651" t="str">
        <f>IF(C1077="","",L1077-Q1058*COS(O1051*PI()/180))</f>
        <v/>
      </c>
      <c r="N1077" s="652" t="str">
        <f>IF(C1077="","",L1077+P1058*SIN(O1051*PI()/180))</f>
        <v/>
      </c>
      <c r="O1077" s="644" t="str">
        <f t="shared" si="158"/>
        <v>-</v>
      </c>
      <c r="P1077" s="654" t="str">
        <f>IF(C1077="","",(PI()*O1077/180*(R1059*M1077-N1077*S1059)-Q1077*(S1058*R1059-S1059*R1058))/S1057/(R1059-S1059))</f>
        <v/>
      </c>
      <c r="Q1077" s="655" t="str">
        <f>IF(C1077="","",O1077/180*PI()*(L1077-M1077)/(R1058-S1058))</f>
        <v/>
      </c>
      <c r="R1077" s="656" t="str">
        <f>IF(C1077="","",(O1077/180*PI()*N1077-Q1077*R1058-S1077*S1057)/R1059)</f>
        <v/>
      </c>
      <c r="S1077" s="657" t="str">
        <f t="shared" si="154"/>
        <v/>
      </c>
      <c r="T1077" s="670" t="str">
        <f t="shared" si="155"/>
        <v/>
      </c>
      <c r="U1077" s="671" t="str">
        <f t="shared" si="156"/>
        <v/>
      </c>
      <c r="V1077" s="333"/>
      <c r="W1077" s="185"/>
      <c r="X1077" s="141"/>
      <c r="Z1077" s="187"/>
      <c r="AA1077" s="187"/>
    </row>
    <row r="1078" spans="1:27" s="186" customFormat="1" ht="15" customHeight="1">
      <c r="A1078" s="215"/>
      <c r="B1078" s="168"/>
      <c r="C1078" s="668" t="str">
        <f>IF(Q1051="","",IF(C1077="","",IF(C1077+1&lt;=Q1051,C1077+1,"")))</f>
        <v/>
      </c>
      <c r="D1078" s="236"/>
      <c r="E1078" s="195"/>
      <c r="F1078" s="195"/>
      <c r="G1078" s="195"/>
      <c r="H1078" s="195"/>
      <c r="I1078" s="195"/>
      <c r="J1078" s="196"/>
      <c r="K1078" s="641"/>
      <c r="L1078" s="647" t="str">
        <f t="shared" si="157"/>
        <v/>
      </c>
      <c r="M1078" s="651" t="str">
        <f>IF(C1078="","",L1078-Q1058*COS(O1051*PI()/180))</f>
        <v/>
      </c>
      <c r="N1078" s="652" t="str">
        <f>IF(C1078="","",L1078+P1058*SIN(O1051*PI()/180))</f>
        <v/>
      </c>
      <c r="O1078" s="644" t="str">
        <f t="shared" si="158"/>
        <v>-</v>
      </c>
      <c r="P1078" s="654" t="str">
        <f>IF(C1078="","",(PI()*O1078/180*(R1059*M1078-N1078*S1059)-Q1078*(S1058*R1059-S1059*R1058))/S1057/(R1059-S1059))</f>
        <v/>
      </c>
      <c r="Q1078" s="655" t="str">
        <f>IF(C1078="","",O1078/180*PI()*(L1078-M1078)/(R1058-S1058))</f>
        <v/>
      </c>
      <c r="R1078" s="656" t="str">
        <f>IF(C1078="","",(O1078/180*PI()*N1078-Q1078*R1058-S1078*S1057)/R1059)</f>
        <v/>
      </c>
      <c r="S1078" s="657" t="str">
        <f t="shared" si="154"/>
        <v/>
      </c>
      <c r="T1078" s="670" t="str">
        <f t="shared" si="155"/>
        <v/>
      </c>
      <c r="U1078" s="671" t="str">
        <f t="shared" si="156"/>
        <v/>
      </c>
      <c r="V1078" s="333"/>
      <c r="W1078" s="185"/>
      <c r="X1078" s="141"/>
      <c r="Z1078" s="187"/>
      <c r="AA1078" s="187"/>
    </row>
    <row r="1079" spans="1:27" s="186" customFormat="1" ht="15" customHeight="1">
      <c r="A1079" s="215"/>
      <c r="B1079" s="168"/>
      <c r="C1079" s="668" t="str">
        <f>IF(Q1051="","",IF(C1078="","",IF(C1078+1&lt;=Q1051,C1078+1,"")))</f>
        <v/>
      </c>
      <c r="D1079" s="236"/>
      <c r="E1079" s="195"/>
      <c r="F1079" s="195"/>
      <c r="G1079" s="195"/>
      <c r="H1079" s="195"/>
      <c r="I1079" s="195"/>
      <c r="J1079" s="196"/>
      <c r="K1079" s="641"/>
      <c r="L1079" s="647" t="str">
        <f t="shared" si="157"/>
        <v/>
      </c>
      <c r="M1079" s="651" t="str">
        <f>IF(C1079="","",L1079-Q1058*COS(O1051*PI()/180))</f>
        <v/>
      </c>
      <c r="N1079" s="652" t="str">
        <f>IF(C1079="","",L1079+P1058*SIN(O1051*PI()/180))</f>
        <v/>
      </c>
      <c r="O1079" s="644" t="str">
        <f t="shared" si="158"/>
        <v>-</v>
      </c>
      <c r="P1079" s="654" t="str">
        <f>IF(C1079="","",(PI()*O1079/180*(R1059*M1079-N1079*S1059)-Q1079*(S1058*R1059-S1059*R1058))/S1057/(R1059-S1059))</f>
        <v/>
      </c>
      <c r="Q1079" s="655" t="str">
        <f>IF(C1079="","",O1079/180*PI()*(L1079-M1079)/(R1058-S1058))</f>
        <v/>
      </c>
      <c r="R1079" s="656" t="str">
        <f>IF(C1079="","",(O1079/180*PI()*N1079-Q1079*R1058-S1079*S1057)/R1059)</f>
        <v/>
      </c>
      <c r="S1079" s="657" t="str">
        <f t="shared" si="154"/>
        <v/>
      </c>
      <c r="T1079" s="670" t="str">
        <f t="shared" si="155"/>
        <v/>
      </c>
      <c r="U1079" s="671" t="str">
        <f t="shared" si="156"/>
        <v/>
      </c>
      <c r="V1079" s="333"/>
      <c r="W1079" s="185"/>
      <c r="X1079" s="141"/>
      <c r="Z1079" s="187"/>
      <c r="AA1079" s="187"/>
    </row>
    <row r="1080" spans="1:27" s="186" customFormat="1" ht="15" customHeight="1">
      <c r="A1080" s="215"/>
      <c r="B1080" s="168"/>
      <c r="C1080" s="668" t="str">
        <f>IF(Q1051="","",IF(C1079="","",IF(C1079+1&lt;=Q1051,C1079+1,"")))</f>
        <v/>
      </c>
      <c r="D1080" s="236"/>
      <c r="E1080" s="195"/>
      <c r="F1080" s="195"/>
      <c r="G1080" s="195"/>
      <c r="H1080" s="195"/>
      <c r="I1080" s="195"/>
      <c r="J1080" s="196"/>
      <c r="K1080" s="641"/>
      <c r="L1080" s="647" t="str">
        <f t="shared" si="157"/>
        <v/>
      </c>
      <c r="M1080" s="651" t="str">
        <f>IF(C1080="","",L1080-Q1058*COS(O1051*PI()/180))</f>
        <v/>
      </c>
      <c r="N1080" s="652" t="str">
        <f>IF(C1080="","",L1080+P1058*SIN(O1051*PI()/180))</f>
        <v/>
      </c>
      <c r="O1080" s="644" t="str">
        <f t="shared" si="158"/>
        <v>-</v>
      </c>
      <c r="P1080" s="654" t="str">
        <f>IF(C1080="","",(PI()*O1080/180*(R1059*M1080-N1080*S1059)-Q1080*(S1058*R1059-S1059*R1058))/S1057/(R1059-S1059))</f>
        <v/>
      </c>
      <c r="Q1080" s="655" t="str">
        <f>IF(C1080="","",O1080/180*PI()*(L1080-M1080)/(R1058-S1058))</f>
        <v/>
      </c>
      <c r="R1080" s="656" t="str">
        <f>IF(C1080="","",(O1080/180*PI()*N1080-Q1080*R1058-S1080*S1057)/R1059)</f>
        <v/>
      </c>
      <c r="S1080" s="657" t="str">
        <f t="shared" si="154"/>
        <v/>
      </c>
      <c r="T1080" s="670" t="str">
        <f t="shared" si="155"/>
        <v/>
      </c>
      <c r="U1080" s="671" t="str">
        <f t="shared" si="156"/>
        <v/>
      </c>
      <c r="V1080" s="333"/>
      <c r="W1080" s="185"/>
      <c r="X1080" s="141"/>
      <c r="Z1080" s="187"/>
      <c r="AA1080" s="187"/>
    </row>
    <row r="1081" spans="1:27" s="186" customFormat="1" ht="15" customHeight="1">
      <c r="A1081" s="215"/>
      <c r="B1081" s="168"/>
      <c r="C1081" s="668" t="str">
        <f>IF(Q1051="","",IF(C1080="","",IF(C1080+1&lt;=Q1051,C1080+1,"")))</f>
        <v/>
      </c>
      <c r="D1081" s="236"/>
      <c r="E1081" s="195"/>
      <c r="F1081" s="195"/>
      <c r="G1081" s="195"/>
      <c r="H1081" s="195"/>
      <c r="I1081" s="195"/>
      <c r="J1081" s="196"/>
      <c r="K1081" s="641"/>
      <c r="L1081" s="647" t="str">
        <f t="shared" si="157"/>
        <v/>
      </c>
      <c r="M1081" s="651" t="str">
        <f>IF(C1081="","",L1081-Q1058*COS(O1051*PI()/180))</f>
        <v/>
      </c>
      <c r="N1081" s="652" t="str">
        <f>IF(C1081="","",L1081+P1058*SIN(O1051*PI()/180))</f>
        <v/>
      </c>
      <c r="O1081" s="644" t="str">
        <f t="shared" si="158"/>
        <v>-</v>
      </c>
      <c r="P1081" s="654" t="str">
        <f>IF(C1081="","",(PI()*O1081/180*(R1059*M1081-N1081*S1059)-Q1081*(S1058*R1059-S1059*R1058))/S1057/(R1059-S1059))</f>
        <v/>
      </c>
      <c r="Q1081" s="655" t="str">
        <f>IF(C1081="","",O1081/180*PI()*(L1081-M1081)/(R1058-S1058))</f>
        <v/>
      </c>
      <c r="R1081" s="656" t="str">
        <f>IF(C1081="","",(O1081/180*PI()*N1081-Q1081*R1058-S1081*S1057)/R1059)</f>
        <v/>
      </c>
      <c r="S1081" s="657" t="str">
        <f t="shared" si="154"/>
        <v/>
      </c>
      <c r="T1081" s="670" t="str">
        <f t="shared" si="155"/>
        <v/>
      </c>
      <c r="U1081" s="671" t="str">
        <f t="shared" si="156"/>
        <v/>
      </c>
      <c r="V1081" s="333"/>
      <c r="W1081" s="185"/>
      <c r="X1081" s="141"/>
      <c r="Z1081" s="187"/>
      <c r="AA1081" s="187"/>
    </row>
    <row r="1082" spans="1:27" s="186" customFormat="1" ht="15" customHeight="1">
      <c r="A1082" s="215"/>
      <c r="B1082" s="168"/>
      <c r="C1082" s="668" t="str">
        <f>IF(Q1051="","",IF(C1081="","",IF(C1081+1&lt;=Q1051,C1081+1,"")))</f>
        <v/>
      </c>
      <c r="D1082" s="236"/>
      <c r="E1082" s="195"/>
      <c r="F1082" s="195"/>
      <c r="G1082" s="195"/>
      <c r="H1082" s="195"/>
      <c r="I1082" s="195"/>
      <c r="J1082" s="196"/>
      <c r="K1082" s="641"/>
      <c r="L1082" s="647" t="str">
        <f t="shared" si="157"/>
        <v/>
      </c>
      <c r="M1082" s="651" t="str">
        <f>IF(C1082="","",L1082-Q1058*COS(O1051*PI()/180))</f>
        <v/>
      </c>
      <c r="N1082" s="652" t="str">
        <f>IF(C1082="","",L1082+P1058*SIN(O1051*PI()/180))</f>
        <v/>
      </c>
      <c r="O1082" s="644" t="str">
        <f t="shared" si="158"/>
        <v>-</v>
      </c>
      <c r="P1082" s="654" t="str">
        <f>IF(C1082="","",(PI()*O1082/180*(R1059*M1082-N1082*S1059)-Q1082*(S1058*R1059-S1059*R1058))/S1057/(R1059-S1059))</f>
        <v/>
      </c>
      <c r="Q1082" s="655" t="str">
        <f>IF(C1082="","",O1082/180*PI()*(L1082-M1082)/(R1058-S1058))</f>
        <v/>
      </c>
      <c r="R1082" s="656" t="str">
        <f>IF(C1082="","",(O1082/180*PI()*N1082-Q1082*R1058-S1082*S1057)/R1059)</f>
        <v/>
      </c>
      <c r="S1082" s="657" t="str">
        <f t="shared" si="154"/>
        <v/>
      </c>
      <c r="T1082" s="670" t="str">
        <f t="shared" si="155"/>
        <v/>
      </c>
      <c r="U1082" s="671" t="str">
        <f t="shared" si="156"/>
        <v/>
      </c>
      <c r="V1082" s="333"/>
      <c r="W1082" s="185"/>
      <c r="X1082" s="141"/>
      <c r="Z1082" s="187"/>
      <c r="AA1082" s="187"/>
    </row>
    <row r="1083" spans="1:27" s="186" customFormat="1" ht="15" customHeight="1">
      <c r="A1083" s="215"/>
      <c r="B1083" s="168"/>
      <c r="C1083" s="668" t="str">
        <f>IF(Q1051="","",IF(C1082="","",IF(C1082+1&lt;=Q1051,C1082+1,"")))</f>
        <v/>
      </c>
      <c r="D1083" s="236"/>
      <c r="E1083" s="195"/>
      <c r="F1083" s="195"/>
      <c r="G1083" s="195"/>
      <c r="H1083" s="195"/>
      <c r="I1083" s="195"/>
      <c r="J1083" s="196"/>
      <c r="K1083" s="641"/>
      <c r="L1083" s="647" t="str">
        <f t="shared" si="157"/>
        <v/>
      </c>
      <c r="M1083" s="651" t="str">
        <f>IF(C1083="","",L1083-Q1058*COS(O1051*PI()/180))</f>
        <v/>
      </c>
      <c r="N1083" s="652" t="str">
        <f>IF(C1083="","",L1083+P1058*SIN(O1051*PI()/180))</f>
        <v/>
      </c>
      <c r="O1083" s="644" t="str">
        <f t="shared" si="158"/>
        <v>-</v>
      </c>
      <c r="P1083" s="654" t="str">
        <f>IF(C1083="","",(PI()*O1083/180*(R1059*M1083-N1083*S1059)-Q1083*(S1058*R1059-S1059*R1058))/S1057/(R1059-S1059))</f>
        <v/>
      </c>
      <c r="Q1083" s="655" t="str">
        <f>IF(C1083="","",O1083/180*PI()*(L1083-M1083)/(R1058-S1058))</f>
        <v/>
      </c>
      <c r="R1083" s="656" t="str">
        <f>IF(C1083="","",(O1083/180*PI()*N1083-Q1083*R1058-S1083*S1057)/R1059)</f>
        <v/>
      </c>
      <c r="S1083" s="657" t="str">
        <f t="shared" si="154"/>
        <v/>
      </c>
      <c r="T1083" s="670" t="str">
        <f t="shared" si="155"/>
        <v/>
      </c>
      <c r="U1083" s="671" t="str">
        <f t="shared" si="156"/>
        <v/>
      </c>
      <c r="V1083" s="333"/>
      <c r="W1083" s="185"/>
      <c r="X1083" s="141"/>
      <c r="Z1083" s="187"/>
      <c r="AA1083" s="187"/>
    </row>
    <row r="1084" spans="1:27" s="186" customFormat="1" ht="15" customHeight="1">
      <c r="A1084" s="215"/>
      <c r="B1084" s="168"/>
      <c r="C1084" s="668" t="str">
        <f>IF(Q1051="","",IF(C1083="","",IF(C1083+1&lt;=Q1051,C1083+1,"")))</f>
        <v/>
      </c>
      <c r="D1084" s="236"/>
      <c r="E1084" s="195"/>
      <c r="F1084" s="195"/>
      <c r="G1084" s="195"/>
      <c r="H1084" s="195"/>
      <c r="I1084" s="195"/>
      <c r="J1084" s="196"/>
      <c r="K1084" s="641"/>
      <c r="L1084" s="647" t="str">
        <f t="shared" si="157"/>
        <v/>
      </c>
      <c r="M1084" s="651" t="str">
        <f>IF(C1084="","",L1084-Q1058*COS(O1051*PI()/180))</f>
        <v/>
      </c>
      <c r="N1084" s="652" t="str">
        <f>IF(C1084="","",L1084+P1058*SIN(O1051*PI()/180))</f>
        <v/>
      </c>
      <c r="O1084" s="644" t="str">
        <f t="shared" si="158"/>
        <v>-</v>
      </c>
      <c r="P1084" s="654" t="str">
        <f>IF(C1084="","",(PI()*O1084/180*(R1059*M1084-N1084*S1059)-Q1084*(S1058*R1059-S1059*R1058))/S1057/(R1059-S1059))</f>
        <v/>
      </c>
      <c r="Q1084" s="655" t="str">
        <f>IF(C1084="","",O1084/180*PI()*(L1084-M1084)/(R1058-S1058))</f>
        <v/>
      </c>
      <c r="R1084" s="656" t="str">
        <f>IF(C1084="","",(O1084/180*PI()*N1084-Q1084*R1058-S1084*S1057)/R1059)</f>
        <v/>
      </c>
      <c r="S1084" s="657" t="str">
        <f t="shared" si="154"/>
        <v/>
      </c>
      <c r="T1084" s="670" t="str">
        <f t="shared" si="155"/>
        <v/>
      </c>
      <c r="U1084" s="671" t="str">
        <f t="shared" si="156"/>
        <v/>
      </c>
      <c r="V1084" s="333"/>
      <c r="W1084" s="185"/>
      <c r="X1084" s="141"/>
      <c r="Z1084" s="187"/>
      <c r="AA1084" s="187"/>
    </row>
    <row r="1085" spans="1:27" s="186" customFormat="1" ht="15" customHeight="1">
      <c r="A1085" s="215"/>
      <c r="B1085" s="168"/>
      <c r="C1085" s="668" t="str">
        <f>IF(Q1051="","",IF(C1084="","",IF(C1084+1&lt;=Q1051,C1084+1,"")))</f>
        <v/>
      </c>
      <c r="D1085" s="236"/>
      <c r="E1085" s="195"/>
      <c r="F1085" s="195"/>
      <c r="G1085" s="195"/>
      <c r="H1085" s="195"/>
      <c r="I1085" s="195"/>
      <c r="J1085" s="196"/>
      <c r="K1085" s="641"/>
      <c r="L1085" s="647" t="str">
        <f t="shared" si="157"/>
        <v/>
      </c>
      <c r="M1085" s="651" t="str">
        <f>IF(C1085="","",L1085-Q1058*COS(O1051*PI()/180))</f>
        <v/>
      </c>
      <c r="N1085" s="652" t="str">
        <f>IF(C1085="","",L1085+P1058*SIN(O1051*PI()/180))</f>
        <v/>
      </c>
      <c r="O1085" s="644" t="str">
        <f t="shared" si="158"/>
        <v>-</v>
      </c>
      <c r="P1085" s="654" t="str">
        <f>IF(C1085="","",(PI()*O1085/180*(R1059*M1085-N1085*S1059)-Q1085*(S1058*R1059-S1059*R1058))/S1057/(R1059-S1059))</f>
        <v/>
      </c>
      <c r="Q1085" s="655" t="str">
        <f>IF(C1085="","",O1085/180*PI()*(L1085-M1085)/(R1058-S1058))</f>
        <v/>
      </c>
      <c r="R1085" s="656" t="str">
        <f>IF(C1085="","",(O1085/180*PI()*N1085-Q1085*R1058-S1085*S1057)/R1059)</f>
        <v/>
      </c>
      <c r="S1085" s="657" t="str">
        <f t="shared" si="154"/>
        <v/>
      </c>
      <c r="T1085" s="670" t="str">
        <f t="shared" si="155"/>
        <v/>
      </c>
      <c r="U1085" s="671" t="str">
        <f t="shared" si="156"/>
        <v/>
      </c>
      <c r="V1085" s="333"/>
      <c r="W1085" s="185"/>
      <c r="X1085" s="141"/>
      <c r="Z1085" s="187"/>
      <c r="AA1085" s="187"/>
    </row>
    <row r="1086" spans="1:27" s="186" customFormat="1" ht="15" customHeight="1">
      <c r="A1086" s="215"/>
      <c r="B1086" s="168"/>
      <c r="C1086" s="668" t="str">
        <f>IF(Q1051="","",IF(C1085="","",IF(C1085+1&lt;=Q1051,C1085+1,"")))</f>
        <v/>
      </c>
      <c r="D1086" s="236"/>
      <c r="E1086" s="195"/>
      <c r="F1086" s="195"/>
      <c r="G1086" s="195"/>
      <c r="H1086" s="195"/>
      <c r="I1086" s="195"/>
      <c r="J1086" s="196"/>
      <c r="K1086" s="641"/>
      <c r="L1086" s="647" t="str">
        <f t="shared" si="157"/>
        <v/>
      </c>
      <c r="M1086" s="651" t="str">
        <f>IF(C1086="","",L1086-Q1058*COS(O1051*PI()/180))</f>
        <v/>
      </c>
      <c r="N1086" s="652" t="str">
        <f>IF(C1086="","",L1086+P1058*SIN(O1051*PI()/180))</f>
        <v/>
      </c>
      <c r="O1086" s="644" t="str">
        <f t="shared" si="158"/>
        <v>-</v>
      </c>
      <c r="P1086" s="654" t="str">
        <f>IF(C1086="","",(PI()*O1086/180*(R1059*M1086-N1086*S1059)-Q1086*(S1058*R1059-S1059*R1058))/S1057/(R1059-S1059))</f>
        <v/>
      </c>
      <c r="Q1086" s="655" t="str">
        <f>IF(C1086="","",O1086/180*PI()*(L1086-M1086)/(R1058-S1058))</f>
        <v/>
      </c>
      <c r="R1086" s="656" t="str">
        <f>IF(C1086="","",(O1086/180*PI()*N1086-Q1086*R1058-S1086*S1057)/R1059)</f>
        <v/>
      </c>
      <c r="S1086" s="657" t="str">
        <f t="shared" si="154"/>
        <v/>
      </c>
      <c r="T1086" s="670" t="str">
        <f t="shared" si="155"/>
        <v/>
      </c>
      <c r="U1086" s="671" t="str">
        <f t="shared" si="156"/>
        <v/>
      </c>
      <c r="V1086" s="333"/>
      <c r="W1086" s="185"/>
      <c r="X1086" s="141"/>
      <c r="Z1086" s="187"/>
      <c r="AA1086" s="187"/>
    </row>
    <row r="1087" spans="1:27" s="186" customFormat="1" ht="15" customHeight="1">
      <c r="A1087" s="215"/>
      <c r="B1087" s="168"/>
      <c r="C1087" s="668" t="str">
        <f>IF(Q1051="","",IF(C1086="","",IF(C1086+1&lt;=Q1051,C1086+1,"")))</f>
        <v/>
      </c>
      <c r="D1087" s="236"/>
      <c r="E1087" s="195"/>
      <c r="F1087" s="195"/>
      <c r="G1087" s="195"/>
      <c r="H1087" s="195"/>
      <c r="I1087" s="195"/>
      <c r="J1087" s="196"/>
      <c r="K1087" s="641"/>
      <c r="L1087" s="647" t="str">
        <f t="shared" si="157"/>
        <v/>
      </c>
      <c r="M1087" s="651" t="str">
        <f>IF(C1087="","",L1087-Q1058*COS(O1051*PI()/180))</f>
        <v/>
      </c>
      <c r="N1087" s="652" t="str">
        <f>IF(C1087="","",L1087+P1058*SIN(O1051*PI()/180))</f>
        <v/>
      </c>
      <c r="O1087" s="644" t="str">
        <f t="shared" si="158"/>
        <v>-</v>
      </c>
      <c r="P1087" s="654" t="str">
        <f>IF(C1087="","",(PI()*O1087/180*(R1059*M1087-N1087*S1059)-Q1087*(S1058*R1059-S1059*R1058))/S1057/(R1059-S1059))</f>
        <v/>
      </c>
      <c r="Q1087" s="655" t="str">
        <f>IF(C1087="","",O1087/180*PI()*(L1087-M1087)/(R1058-S1058))</f>
        <v/>
      </c>
      <c r="R1087" s="656" t="str">
        <f>IF(C1087="","",(O1087/180*PI()*N1087-Q1087*R1058-S1087*S1057)/R1059)</f>
        <v/>
      </c>
      <c r="S1087" s="657" t="str">
        <f t="shared" si="154"/>
        <v/>
      </c>
      <c r="T1087" s="670" t="str">
        <f t="shared" si="155"/>
        <v/>
      </c>
      <c r="U1087" s="671" t="str">
        <f t="shared" si="156"/>
        <v/>
      </c>
      <c r="V1087" s="333"/>
      <c r="W1087" s="185"/>
      <c r="X1087" s="141"/>
      <c r="Z1087" s="187"/>
      <c r="AA1087" s="187"/>
    </row>
    <row r="1088" spans="1:27" s="186" customFormat="1" ht="15" customHeight="1">
      <c r="A1088" s="215"/>
      <c r="B1088" s="168"/>
      <c r="C1088" s="668" t="str">
        <f>IF(Q1051="","",IF(C1087="","",IF(C1087+1&lt;=Q1051,C1087+1,"")))</f>
        <v/>
      </c>
      <c r="D1088" s="236"/>
      <c r="E1088" s="195"/>
      <c r="F1088" s="195"/>
      <c r="G1088" s="195"/>
      <c r="H1088" s="195"/>
      <c r="I1088" s="195"/>
      <c r="J1088" s="196"/>
      <c r="K1088" s="641"/>
      <c r="L1088" s="647" t="str">
        <f t="shared" si="157"/>
        <v/>
      </c>
      <c r="M1088" s="651" t="str">
        <f>IF(C1088="","",L1088-Q1058*COS(O1051*PI()/180))</f>
        <v/>
      </c>
      <c r="N1088" s="652" t="str">
        <f>IF(C1088="","",L1088+P1058*SIN(O1051*PI()/180))</f>
        <v/>
      </c>
      <c r="O1088" s="644" t="str">
        <f t="shared" si="158"/>
        <v>-</v>
      </c>
      <c r="P1088" s="654" t="str">
        <f>IF(C1088="","",(PI()*O1088/180*(R1059*M1088-N1088*S1059)-Q1088*(S1058*R1059-S1059*R1058))/S1057/(R1059-S1059))</f>
        <v/>
      </c>
      <c r="Q1088" s="655" t="str">
        <f>IF(C1088="","",O1088/180*PI()*(L1088-M1088)/(R1058-S1058))</f>
        <v/>
      </c>
      <c r="R1088" s="656" t="str">
        <f>IF(C1088="","",(O1088/180*PI()*N1088-Q1088*R1058-S1088*S1057)/R1059)</f>
        <v/>
      </c>
      <c r="S1088" s="657" t="str">
        <f t="shared" si="154"/>
        <v/>
      </c>
      <c r="T1088" s="670" t="str">
        <f t="shared" si="155"/>
        <v/>
      </c>
      <c r="U1088" s="671" t="str">
        <f t="shared" si="156"/>
        <v/>
      </c>
      <c r="V1088" s="333"/>
      <c r="W1088" s="185"/>
      <c r="X1088" s="141"/>
      <c r="Z1088" s="187"/>
      <c r="AA1088" s="187"/>
    </row>
    <row r="1089" spans="1:27" s="186" customFormat="1" ht="15" customHeight="1">
      <c r="A1089" s="215"/>
      <c r="B1089" s="168"/>
      <c r="C1089" s="668" t="str">
        <f>IF(Q1051="","",IF(C1088="","",IF(C1088+1&lt;=Q1051,C1088+1,"")))</f>
        <v/>
      </c>
      <c r="D1089" s="236"/>
      <c r="E1089" s="195"/>
      <c r="F1089" s="195"/>
      <c r="G1089" s="195"/>
      <c r="H1089" s="195"/>
      <c r="I1089" s="195"/>
      <c r="J1089" s="196"/>
      <c r="K1089" s="641"/>
      <c r="L1089" s="647" t="str">
        <f t="shared" si="157"/>
        <v/>
      </c>
      <c r="M1089" s="651" t="str">
        <f>IF(C1089="","",L1089-Q1058*COS(O1051*PI()/180))</f>
        <v/>
      </c>
      <c r="N1089" s="652" t="str">
        <f>IF(C1089="","",L1089+P1058*SIN(O1051*PI()/180))</f>
        <v/>
      </c>
      <c r="O1089" s="644" t="str">
        <f t="shared" si="158"/>
        <v>-</v>
      </c>
      <c r="P1089" s="654" t="str">
        <f>IF(C1089="","",(PI()*O1089/180*(R1059*M1089-N1089*S1059)-Q1089*(S1058*R1059-S1059*R1058))/S1057/(R1059-S1059))</f>
        <v/>
      </c>
      <c r="Q1089" s="655" t="str">
        <f>IF(C1089="","",O1089/180*PI()*(L1089-M1089)/(R1058-S1058))</f>
        <v/>
      </c>
      <c r="R1089" s="656" t="str">
        <f>IF(C1089="","",(O1089/180*PI()*N1089-Q1089*R1058-S1089*S1057)/R1059)</f>
        <v/>
      </c>
      <c r="S1089" s="657" t="str">
        <f t="shared" si="154"/>
        <v/>
      </c>
      <c r="T1089" s="670" t="str">
        <f t="shared" si="155"/>
        <v/>
      </c>
      <c r="U1089" s="671" t="str">
        <f t="shared" si="156"/>
        <v/>
      </c>
      <c r="V1089" s="333"/>
      <c r="W1089" s="185"/>
      <c r="X1089" s="141"/>
      <c r="Z1089" s="187"/>
      <c r="AA1089" s="187"/>
    </row>
    <row r="1090" spans="1:27" s="186" customFormat="1" ht="15" customHeight="1">
      <c r="A1090" s="215"/>
      <c r="B1090" s="168"/>
      <c r="C1090" s="668" t="str">
        <f>IF(Q1051="","",IF(C1089="","",IF(C1089+1&lt;=Q1051,C1089+1,"")))</f>
        <v/>
      </c>
      <c r="D1090" s="236"/>
      <c r="E1090" s="195"/>
      <c r="F1090" s="195"/>
      <c r="G1090" s="195"/>
      <c r="H1090" s="195"/>
      <c r="I1090" s="195"/>
      <c r="J1090" s="196"/>
      <c r="K1090" s="641"/>
      <c r="L1090" s="647" t="str">
        <f t="shared" si="157"/>
        <v/>
      </c>
      <c r="M1090" s="651" t="str">
        <f>IF(C1090="","",L1090-Q1058*COS(O1051*PI()/180))</f>
        <v/>
      </c>
      <c r="N1090" s="652" t="str">
        <f>IF(C1090="","",L1090+P1058*SIN(O1051*PI()/180))</f>
        <v/>
      </c>
      <c r="O1090" s="644" t="str">
        <f t="shared" si="158"/>
        <v>-</v>
      </c>
      <c r="P1090" s="654" t="str">
        <f>IF(C1090="","",(PI()*O1090/180*(R1059*M1090-N1090*S1059)-Q1090*(S1058*R1059-S1059*R1058))/S1057/(R1059-S1059))</f>
        <v/>
      </c>
      <c r="Q1090" s="655" t="str">
        <f>IF(C1090="","",O1090/180*PI()*(L1090-M1090)/(R1058-S1058))</f>
        <v/>
      </c>
      <c r="R1090" s="656" t="str">
        <f>IF(C1090="","",(O1090/180*PI()*N1090-Q1090*R1058-S1090*S1057)/R1059)</f>
        <v/>
      </c>
      <c r="S1090" s="657" t="str">
        <f t="shared" si="154"/>
        <v/>
      </c>
      <c r="T1090" s="670" t="str">
        <f t="shared" si="155"/>
        <v/>
      </c>
      <c r="U1090" s="671" t="str">
        <f t="shared" si="156"/>
        <v/>
      </c>
      <c r="V1090" s="333"/>
      <c r="W1090" s="185"/>
      <c r="X1090" s="141"/>
      <c r="Z1090" s="187"/>
      <c r="AA1090" s="187"/>
    </row>
    <row r="1091" spans="1:27" s="186" customFormat="1" ht="15" customHeight="1">
      <c r="A1091" s="215"/>
      <c r="B1091" s="168"/>
      <c r="C1091" s="668" t="str">
        <f>IF(Q1051="","",IF(C1090="","",IF(C1090+1&lt;=Q1051,C1090+1,"")))</f>
        <v/>
      </c>
      <c r="D1091" s="236"/>
      <c r="E1091" s="195"/>
      <c r="F1091" s="195"/>
      <c r="G1091" s="195"/>
      <c r="H1091" s="195"/>
      <c r="I1091" s="195"/>
      <c r="J1091" s="196"/>
      <c r="K1091" s="641"/>
      <c r="L1091" s="647" t="str">
        <f t="shared" si="157"/>
        <v/>
      </c>
      <c r="M1091" s="651" t="str">
        <f>IF(C1091="","",L1091-Q1058*COS(O1051*PI()/180))</f>
        <v/>
      </c>
      <c r="N1091" s="652" t="str">
        <f>IF(C1091="","",L1091+P1058*SIN(O1051*PI()/180))</f>
        <v/>
      </c>
      <c r="O1091" s="644" t="str">
        <f t="shared" si="158"/>
        <v>-</v>
      </c>
      <c r="P1091" s="654" t="str">
        <f>IF(C1091="","",(PI()*O1091/180*(R1059*M1091-N1091*S1059)-Q1091*(S1058*R1059-S1059*R1058))/S1057/(R1059-S1059))</f>
        <v/>
      </c>
      <c r="Q1091" s="655" t="str">
        <f>IF(C1091="","",O1091/180*PI()*(L1091-M1091)/(R1058-S1058))</f>
        <v/>
      </c>
      <c r="R1091" s="656" t="str">
        <f>IF(C1091="","",(O1091/180*PI()*N1091-Q1091*R1058-S1091*S1057)/R1059)</f>
        <v/>
      </c>
      <c r="S1091" s="657" t="str">
        <f t="shared" si="154"/>
        <v/>
      </c>
      <c r="T1091" s="670" t="str">
        <f t="shared" si="155"/>
        <v/>
      </c>
      <c r="U1091" s="671" t="str">
        <f t="shared" si="156"/>
        <v/>
      </c>
      <c r="V1091" s="333"/>
      <c r="W1091" s="185"/>
      <c r="X1091" s="141"/>
      <c r="Z1091" s="187"/>
      <c r="AA1091" s="187"/>
    </row>
    <row r="1092" spans="1:27" s="186" customFormat="1" ht="15" customHeight="1">
      <c r="A1092" s="215"/>
      <c r="B1092" s="168"/>
      <c r="C1092" s="668" t="str">
        <f>IF(Q1051="","",IF(C1091="","",IF(C1091+1&lt;=Q1051,C1091+1,"")))</f>
        <v/>
      </c>
      <c r="D1092" s="236"/>
      <c r="E1092" s="195"/>
      <c r="F1092" s="195"/>
      <c r="G1092" s="195"/>
      <c r="H1092" s="195"/>
      <c r="I1092" s="195"/>
      <c r="J1092" s="196"/>
      <c r="K1092" s="641"/>
      <c r="L1092" s="647" t="str">
        <f t="shared" si="157"/>
        <v/>
      </c>
      <c r="M1092" s="651" t="str">
        <f>IF(C1092="","",L1092-Q1058*COS(O1051*PI()/180))</f>
        <v/>
      </c>
      <c r="N1092" s="652" t="str">
        <f>IF(C1092="","",L1092+P1058*SIN(O1051*PI()/180))</f>
        <v/>
      </c>
      <c r="O1092" s="644" t="str">
        <f t="shared" si="158"/>
        <v>-</v>
      </c>
      <c r="P1092" s="654" t="str">
        <f>IF(C1092="","",(PI()*O1092/180*(R1059*M1092-N1092*S1059)-Q1092*(S1058*R1059-S1059*R1058))/S1057/(R1059-S1059))</f>
        <v/>
      </c>
      <c r="Q1092" s="655" t="str">
        <f>IF(C1092="","",O1092/180*PI()*(L1092-M1092)/(R1058-S1058))</f>
        <v/>
      </c>
      <c r="R1092" s="656" t="str">
        <f>IF(C1092="","",(O1092/180*PI()*N1092-Q1092*R1058-S1092*S1057)/R1059)</f>
        <v/>
      </c>
      <c r="S1092" s="657" t="str">
        <f t="shared" si="154"/>
        <v/>
      </c>
      <c r="T1092" s="670" t="str">
        <f t="shared" si="155"/>
        <v/>
      </c>
      <c r="U1092" s="671" t="str">
        <f t="shared" si="156"/>
        <v/>
      </c>
      <c r="V1092" s="333"/>
      <c r="W1092" s="185"/>
      <c r="X1092" s="141"/>
      <c r="Z1092" s="187"/>
      <c r="AA1092" s="187"/>
    </row>
    <row r="1093" spans="1:27" s="186" customFormat="1" ht="15" customHeight="1">
      <c r="A1093" s="215"/>
      <c r="B1093" s="168"/>
      <c r="C1093" s="668" t="str">
        <f>IF(Q1051="","",IF(C1092="","",IF(C1092+1&lt;=Q1051,C1092+1,"")))</f>
        <v/>
      </c>
      <c r="D1093" s="236"/>
      <c r="E1093" s="195"/>
      <c r="F1093" s="195"/>
      <c r="G1093" s="195"/>
      <c r="H1093" s="195"/>
      <c r="I1093" s="195"/>
      <c r="J1093" s="196"/>
      <c r="K1093" s="641"/>
      <c r="L1093" s="647" t="str">
        <f t="shared" si="157"/>
        <v/>
      </c>
      <c r="M1093" s="651" t="str">
        <f>IF(C1093="","",L1093-Q1058*COS(O1051*PI()/180))</f>
        <v/>
      </c>
      <c r="N1093" s="652" t="str">
        <f>IF(C1093="","",L1093+P1058*SIN(O1051*PI()/180))</f>
        <v/>
      </c>
      <c r="O1093" s="644" t="str">
        <f t="shared" si="158"/>
        <v>-</v>
      </c>
      <c r="P1093" s="654" t="str">
        <f>IF(C1093="","",(PI()*O1093/180*(R1059*M1093-N1093*S1059)-Q1093*(S1058*R1059-S1059*R1058))/S1057/(R1059-S1059))</f>
        <v/>
      </c>
      <c r="Q1093" s="655" t="str">
        <f>IF(C1093="","",O1093/180*PI()*(L1093-M1093)/(R1058-S1058))</f>
        <v/>
      </c>
      <c r="R1093" s="656" t="str">
        <f>IF(C1093="","",(O1093/180*PI()*N1093-Q1093*R1058-S1093*S1057)/R1059)</f>
        <v/>
      </c>
      <c r="S1093" s="657" t="str">
        <f t="shared" si="154"/>
        <v/>
      </c>
      <c r="T1093" s="670" t="str">
        <f t="shared" si="155"/>
        <v/>
      </c>
      <c r="U1093" s="671" t="str">
        <f t="shared" si="156"/>
        <v/>
      </c>
      <c r="V1093" s="333"/>
      <c r="W1093" s="185"/>
      <c r="X1093" s="141"/>
      <c r="Z1093" s="187"/>
      <c r="AA1093" s="187"/>
    </row>
    <row r="1094" spans="1:27" s="186" customFormat="1" ht="15" customHeight="1">
      <c r="A1094" s="215"/>
      <c r="B1094" s="168"/>
      <c r="C1094" s="668" t="str">
        <f>IF(Q1051="","",IF(C1093="","",IF(C1093+1&lt;=Q1051,C1093+1,"")))</f>
        <v/>
      </c>
      <c r="D1094" s="236"/>
      <c r="E1094" s="195"/>
      <c r="F1094" s="195"/>
      <c r="G1094" s="195"/>
      <c r="H1094" s="195"/>
      <c r="I1094" s="195"/>
      <c r="J1094" s="196"/>
      <c r="K1094" s="641"/>
      <c r="L1094" s="647" t="str">
        <f t="shared" si="157"/>
        <v/>
      </c>
      <c r="M1094" s="651" t="str">
        <f>IF(C1094="","",L1094-Q1058*COS(O1051*PI()/180))</f>
        <v/>
      </c>
      <c r="N1094" s="652" t="str">
        <f>IF(C1094="","",L1094+P1058*SIN(O1051*PI()/180))</f>
        <v/>
      </c>
      <c r="O1094" s="644" t="str">
        <f t="shared" si="158"/>
        <v>-</v>
      </c>
      <c r="P1094" s="654" t="str">
        <f>IF(C1094="","",(PI()*O1094/180*(R1059*M1094-N1094*S1059)-Q1094*(S1058*R1059-S1059*R1058))/S1057/(R1059-S1059))</f>
        <v/>
      </c>
      <c r="Q1094" s="655" t="str">
        <f>IF(C1094="","",O1094/180*PI()*(L1094-M1094)/(R1058-S1058))</f>
        <v/>
      </c>
      <c r="R1094" s="656" t="str">
        <f>IF(C1094="","",(O1094/180*PI()*N1094-Q1094*R1058-S1094*S1057)/R1059)</f>
        <v/>
      </c>
      <c r="S1094" s="657" t="str">
        <f t="shared" si="154"/>
        <v/>
      </c>
      <c r="T1094" s="670" t="str">
        <f t="shared" si="155"/>
        <v/>
      </c>
      <c r="U1094" s="671" t="str">
        <f t="shared" si="156"/>
        <v/>
      </c>
      <c r="V1094" s="333"/>
      <c r="W1094" s="185"/>
      <c r="X1094" s="141"/>
      <c r="Z1094" s="187"/>
      <c r="AA1094" s="187"/>
    </row>
    <row r="1095" spans="1:27" s="186" customFormat="1" ht="15" customHeight="1">
      <c r="A1095" s="215"/>
      <c r="B1095" s="168"/>
      <c r="C1095" s="668" t="str">
        <f>IF(Q1051="","",IF(C1094="","",IF(C1094+1&lt;=Q1051,C1094+1,"")))</f>
        <v/>
      </c>
      <c r="D1095" s="236"/>
      <c r="E1095" s="195"/>
      <c r="F1095" s="195"/>
      <c r="G1095" s="195"/>
      <c r="H1095" s="195"/>
      <c r="I1095" s="195"/>
      <c r="J1095" s="196"/>
      <c r="K1095" s="641"/>
      <c r="L1095" s="647" t="str">
        <f t="shared" si="157"/>
        <v/>
      </c>
      <c r="M1095" s="651" t="str">
        <f>IF(C1095="","",L1095-Q1058*COS(O1051*PI()/180))</f>
        <v/>
      </c>
      <c r="N1095" s="652" t="str">
        <f>IF(C1095="","",L1095+P1058*SIN(O1051*PI()/180))</f>
        <v/>
      </c>
      <c r="O1095" s="644" t="str">
        <f t="shared" si="158"/>
        <v>-</v>
      </c>
      <c r="P1095" s="654" t="str">
        <f>IF(C1095="","",(PI()*O1095/180*(R1059*M1095-N1095*S1059)-Q1095*(S1058*R1059-S1059*R1058))/S1057/(R1059-S1059))</f>
        <v/>
      </c>
      <c r="Q1095" s="655" t="str">
        <f>IF(C1095="","",O1095/180*PI()*(L1095-M1095)/(R1058-S1058))</f>
        <v/>
      </c>
      <c r="R1095" s="656" t="str">
        <f>IF(C1095="","",(O1095/180*PI()*N1095-Q1095*R1058-S1095*S1057)/R1059)</f>
        <v/>
      </c>
      <c r="S1095" s="657" t="str">
        <f t="shared" si="154"/>
        <v/>
      </c>
      <c r="T1095" s="670" t="str">
        <f t="shared" si="155"/>
        <v/>
      </c>
      <c r="U1095" s="671" t="str">
        <f t="shared" si="156"/>
        <v/>
      </c>
      <c r="V1095" s="333"/>
      <c r="W1095" s="185"/>
      <c r="X1095" s="141"/>
      <c r="Z1095" s="187"/>
      <c r="AA1095" s="187"/>
    </row>
    <row r="1096" spans="1:27" s="186" customFormat="1" ht="15" customHeight="1">
      <c r="A1096" s="215"/>
      <c r="B1096" s="168"/>
      <c r="C1096" s="668" t="str">
        <f>IF(Q1051="","",IF(C1095="","",IF(C1095+1&lt;=Q1051,C1095+1,"")))</f>
        <v/>
      </c>
      <c r="D1096" s="236"/>
      <c r="E1096" s="195"/>
      <c r="F1096" s="195"/>
      <c r="G1096" s="195"/>
      <c r="H1096" s="195"/>
      <c r="I1096" s="195"/>
      <c r="J1096" s="196"/>
      <c r="K1096" s="641"/>
      <c r="L1096" s="647" t="str">
        <f t="shared" si="157"/>
        <v/>
      </c>
      <c r="M1096" s="651" t="str">
        <f>IF(C1096="","",L1096-Q1058*COS(O1051*PI()/180))</f>
        <v/>
      </c>
      <c r="N1096" s="652" t="str">
        <f>IF(C1096="","",L1096+P1058*SIN(O1051*PI()/180))</f>
        <v/>
      </c>
      <c r="O1096" s="644" t="str">
        <f t="shared" si="158"/>
        <v>-</v>
      </c>
      <c r="P1096" s="654" t="str">
        <f>IF(C1096="","",(PI()*O1096/180*(R1059*M1096-N1096*S1059)-Q1096*(S1058*R1059-S1059*R1058))/S1057/(R1059-S1059))</f>
        <v/>
      </c>
      <c r="Q1096" s="655" t="str">
        <f>IF(C1096="","",O1096/180*PI()*(L1096-M1096)/(R1058-S1058))</f>
        <v/>
      </c>
      <c r="R1096" s="656" t="str">
        <f>IF(C1096="","",(O1096/180*PI()*N1096-Q1096*R1058-S1096*S1057)/R1059)</f>
        <v/>
      </c>
      <c r="S1096" s="657" t="str">
        <f t="shared" si="154"/>
        <v/>
      </c>
      <c r="T1096" s="670" t="str">
        <f t="shared" si="155"/>
        <v/>
      </c>
      <c r="U1096" s="671" t="str">
        <f t="shared" si="156"/>
        <v/>
      </c>
      <c r="V1096" s="333"/>
      <c r="W1096" s="185"/>
      <c r="X1096" s="141"/>
      <c r="Z1096" s="187"/>
      <c r="AA1096" s="187"/>
    </row>
    <row r="1097" spans="1:27" s="186" customFormat="1" ht="15" customHeight="1">
      <c r="A1097" s="215"/>
      <c r="B1097" s="168"/>
      <c r="C1097" s="668" t="str">
        <f>IF(Q1051="","",IF(C1096="","",IF(C1096+1&lt;=Q1051,C1096+1,"")))</f>
        <v/>
      </c>
      <c r="D1097" s="236"/>
      <c r="E1097" s="195"/>
      <c r="F1097" s="195"/>
      <c r="G1097" s="195"/>
      <c r="H1097" s="195"/>
      <c r="I1097" s="195"/>
      <c r="J1097" s="196"/>
      <c r="K1097" s="641"/>
      <c r="L1097" s="647" t="str">
        <f t="shared" si="157"/>
        <v/>
      </c>
      <c r="M1097" s="651" t="str">
        <f>IF(C1097="","",L1097-Q1058*COS(O1051*PI()/180))</f>
        <v/>
      </c>
      <c r="N1097" s="652" t="str">
        <f>IF(C1097="","",L1097+P1058*SIN(O1051*PI()/180))</f>
        <v/>
      </c>
      <c r="O1097" s="644" t="str">
        <f t="shared" si="158"/>
        <v>-</v>
      </c>
      <c r="P1097" s="654" t="str">
        <f>IF(C1097="","",(PI()*O1097/180*(R1059*M1097-N1097*S1059)-Q1097*(S1058*R1059-S1059*R1058))/S1057/(R1059-S1059))</f>
        <v/>
      </c>
      <c r="Q1097" s="655" t="str">
        <f>IF(C1097="","",O1097/180*PI()*(L1097-M1097)/(R1058-S1058))</f>
        <v/>
      </c>
      <c r="R1097" s="656" t="str">
        <f>IF(C1097="","",(O1097/180*PI()*N1097-Q1097*R1058-S1097*S1057)/R1059)</f>
        <v/>
      </c>
      <c r="S1097" s="657" t="str">
        <f t="shared" si="154"/>
        <v/>
      </c>
      <c r="T1097" s="670" t="str">
        <f t="shared" si="155"/>
        <v/>
      </c>
      <c r="U1097" s="671" t="str">
        <f t="shared" si="156"/>
        <v/>
      </c>
      <c r="V1097" s="333"/>
      <c r="W1097" s="185"/>
      <c r="X1097" s="141"/>
      <c r="Z1097" s="187"/>
      <c r="AA1097" s="187"/>
    </row>
    <row r="1098" spans="1:27" s="186" customFormat="1" ht="15" customHeight="1">
      <c r="A1098" s="215"/>
      <c r="B1098" s="168"/>
      <c r="C1098" s="668" t="str">
        <f>IF(Q1051="","",IF(C1097="","",IF(C1097+1&lt;=Q1051,C1097+1,"")))</f>
        <v/>
      </c>
      <c r="D1098" s="236"/>
      <c r="E1098" s="195"/>
      <c r="F1098" s="195"/>
      <c r="G1098" s="195"/>
      <c r="H1098" s="195"/>
      <c r="I1098" s="195"/>
      <c r="J1098" s="196"/>
      <c r="K1098" s="641"/>
      <c r="L1098" s="647" t="str">
        <f t="shared" si="157"/>
        <v/>
      </c>
      <c r="M1098" s="651" t="str">
        <f>IF(C1098="","",L1098-Q1058*COS(O1051*PI()/180))</f>
        <v/>
      </c>
      <c r="N1098" s="652" t="str">
        <f>IF(C1098="","",L1098+P1058*SIN(O1051*PI()/180))</f>
        <v/>
      </c>
      <c r="O1098" s="644" t="str">
        <f t="shared" si="158"/>
        <v>-</v>
      </c>
      <c r="P1098" s="654" t="str">
        <f>IF(C1098="","",(PI()*O1098/180*(R1059*M1098-N1098*S1059)-Q1098*(S1058*R1059-S1059*R1058))/S1057/(R1059-S1059))</f>
        <v/>
      </c>
      <c r="Q1098" s="655" t="str">
        <f>IF(C1098="","",O1098/180*PI()*(L1098-M1098)/(R1058-S1058))</f>
        <v/>
      </c>
      <c r="R1098" s="656" t="str">
        <f>IF(C1098="","",(O1098/180*PI()*N1098-Q1098*R1058-S1098*S1057)/R1059)</f>
        <v/>
      </c>
      <c r="S1098" s="657" t="str">
        <f t="shared" si="154"/>
        <v/>
      </c>
      <c r="T1098" s="670" t="str">
        <f t="shared" si="155"/>
        <v/>
      </c>
      <c r="U1098" s="671" t="str">
        <f t="shared" si="156"/>
        <v/>
      </c>
      <c r="V1098" s="333"/>
      <c r="W1098" s="185"/>
      <c r="X1098" s="141"/>
      <c r="Z1098" s="187"/>
      <c r="AA1098" s="187"/>
    </row>
    <row r="1099" spans="1:27" s="186" customFormat="1" ht="15" customHeight="1">
      <c r="A1099" s="215"/>
      <c r="B1099" s="168"/>
      <c r="C1099" s="668" t="str">
        <f>IF(Q1051="","",IF(C1098="","",IF(C1098+1&lt;=Q1051,C1098+1,"")))</f>
        <v/>
      </c>
      <c r="D1099" s="236"/>
      <c r="E1099" s="195"/>
      <c r="F1099" s="195"/>
      <c r="G1099" s="195"/>
      <c r="H1099" s="195"/>
      <c r="I1099" s="195"/>
      <c r="J1099" s="196"/>
      <c r="K1099" s="641"/>
      <c r="L1099" s="647" t="str">
        <f t="shared" si="157"/>
        <v/>
      </c>
      <c r="M1099" s="651" t="str">
        <f>IF(C1099="","",L1099-Q1058*COS(O1051*PI()/180))</f>
        <v/>
      </c>
      <c r="N1099" s="652" t="str">
        <f>IF(C1099="","",L1099+P1058*SIN(O1051*PI()/180))</f>
        <v/>
      </c>
      <c r="O1099" s="644" t="str">
        <f t="shared" si="158"/>
        <v>-</v>
      </c>
      <c r="P1099" s="654" t="str">
        <f>IF(C1099="","",(PI()*O1099/180*(R1059*M1099-N1099*S1059)-Q1099*(S1058*R1059-S1059*R1058))/S1057/(R1059-S1059))</f>
        <v/>
      </c>
      <c r="Q1099" s="655" t="str">
        <f>IF(C1099="","",O1099/180*PI()*(L1099-M1099)/(R1058-S1058))</f>
        <v/>
      </c>
      <c r="R1099" s="656" t="str">
        <f>IF(C1099="","",(O1099/180*PI()*N1099-Q1099*R1058-S1099*S1057)/R1059)</f>
        <v/>
      </c>
      <c r="S1099" s="657" t="str">
        <f t="shared" si="154"/>
        <v/>
      </c>
      <c r="T1099" s="670" t="str">
        <f t="shared" si="155"/>
        <v/>
      </c>
      <c r="U1099" s="671" t="str">
        <f t="shared" si="156"/>
        <v/>
      </c>
      <c r="V1099" s="333"/>
      <c r="W1099" s="185"/>
      <c r="X1099" s="141"/>
      <c r="Z1099" s="187"/>
      <c r="AA1099" s="187"/>
    </row>
    <row r="1100" spans="1:27" s="186" customFormat="1" ht="15" customHeight="1">
      <c r="A1100" s="215"/>
      <c r="B1100" s="168"/>
      <c r="C1100" s="668" t="str">
        <f>IF(Q1051="","",IF(C1099="","",IF(C1099+1&lt;=Q1051,C1099+1,"")))</f>
        <v/>
      </c>
      <c r="D1100" s="236"/>
      <c r="E1100" s="195"/>
      <c r="F1100" s="195"/>
      <c r="G1100" s="195"/>
      <c r="H1100" s="195"/>
      <c r="I1100" s="195"/>
      <c r="J1100" s="196"/>
      <c r="K1100" s="641"/>
      <c r="L1100" s="647" t="str">
        <f t="shared" si="157"/>
        <v/>
      </c>
      <c r="M1100" s="651" t="str">
        <f>IF(C1100="","",L1100-Q1058*COS(O1051*PI()/180))</f>
        <v/>
      </c>
      <c r="N1100" s="652" t="str">
        <f>IF(C1100="","",L1100+P1058*SIN(O1051*PI()/180))</f>
        <v/>
      </c>
      <c r="O1100" s="644" t="str">
        <f t="shared" si="158"/>
        <v>-</v>
      </c>
      <c r="P1100" s="654" t="str">
        <f>IF(C1100="","",(PI()*O1100/180*(R1059*M1100-N1100*S1059)-Q1100*(S1058*R1059-S1059*R1058))/S1057/(R1059-S1059))</f>
        <v/>
      </c>
      <c r="Q1100" s="655" t="str">
        <f>IF(C1100="","",O1100/180*PI()*(L1100-M1100)/(R1058-S1058))</f>
        <v/>
      </c>
      <c r="R1100" s="656" t="str">
        <f>IF(C1100="","",(O1100/180*PI()*N1100-Q1100*R1058-S1100*S1057)/R1059)</f>
        <v/>
      </c>
      <c r="S1100" s="657" t="str">
        <f t="shared" si="154"/>
        <v/>
      </c>
      <c r="T1100" s="670" t="str">
        <f t="shared" si="155"/>
        <v/>
      </c>
      <c r="U1100" s="671" t="str">
        <f t="shared" si="156"/>
        <v/>
      </c>
      <c r="V1100" s="333"/>
      <c r="W1100" s="185"/>
      <c r="X1100" s="141"/>
      <c r="Z1100" s="187"/>
      <c r="AA1100" s="187"/>
    </row>
    <row r="1101" spans="1:27" s="186" customFormat="1" ht="15" customHeight="1">
      <c r="A1101" s="215"/>
      <c r="B1101" s="168"/>
      <c r="C1101" s="668" t="str">
        <f>IF(Q1051="","",IF(C1100="","",IF(C1100+1&lt;=Q1051,C1100+1,"")))</f>
        <v/>
      </c>
      <c r="D1101" s="236"/>
      <c r="E1101" s="195"/>
      <c r="F1101" s="195"/>
      <c r="G1101" s="195"/>
      <c r="H1101" s="195"/>
      <c r="I1101" s="195"/>
      <c r="J1101" s="196"/>
      <c r="K1101" s="641"/>
      <c r="L1101" s="647" t="str">
        <f t="shared" si="157"/>
        <v/>
      </c>
      <c r="M1101" s="651" t="str">
        <f>IF(C1101="","",L1101-Q1058*COS(O1051*PI()/180))</f>
        <v/>
      </c>
      <c r="N1101" s="652" t="str">
        <f>IF(C1101="","",L1101+P1058*SIN(O1051*PI()/180))</f>
        <v/>
      </c>
      <c r="O1101" s="644" t="str">
        <f t="shared" si="158"/>
        <v>-</v>
      </c>
      <c r="P1101" s="654" t="str">
        <f>IF(C1101="","",(PI()*O1101/180*(R1059*M1101-N1101*S1059)-Q1101*(S1058*R1059-S1059*R1058))/S1057/(R1059-S1059))</f>
        <v/>
      </c>
      <c r="Q1101" s="655" t="str">
        <f>IF(C1101="","",O1101/180*PI()*(L1101-M1101)/(R1058-S1058))</f>
        <v/>
      </c>
      <c r="R1101" s="656" t="str">
        <f>IF(C1101="","",(O1101/180*PI()*N1101-Q1101*R1058-S1101*S1057)/R1059)</f>
        <v/>
      </c>
      <c r="S1101" s="657" t="str">
        <f t="shared" si="154"/>
        <v/>
      </c>
      <c r="T1101" s="670" t="str">
        <f t="shared" si="155"/>
        <v/>
      </c>
      <c r="U1101" s="671" t="str">
        <f t="shared" si="156"/>
        <v/>
      </c>
      <c r="V1101" s="333"/>
      <c r="W1101" s="185"/>
      <c r="X1101" s="141"/>
      <c r="Z1101" s="187"/>
      <c r="AA1101" s="187"/>
    </row>
    <row r="1102" spans="1:27" s="186" customFormat="1" ht="15" customHeight="1">
      <c r="A1102" s="215"/>
      <c r="B1102" s="168"/>
      <c r="C1102" s="668" t="str">
        <f>IF(Q1051="","",IF(C1101="","",IF(C1101+1&lt;=Q1051,C1101+1,"")))</f>
        <v/>
      </c>
      <c r="D1102" s="236"/>
      <c r="E1102" s="195"/>
      <c r="F1102" s="195"/>
      <c r="G1102" s="195"/>
      <c r="H1102" s="195"/>
      <c r="I1102" s="195"/>
      <c r="J1102" s="196"/>
      <c r="K1102" s="641"/>
      <c r="L1102" s="647" t="str">
        <f t="shared" si="157"/>
        <v/>
      </c>
      <c r="M1102" s="651" t="str">
        <f>IF(C1102="","",L1102-Q1058*COS(O1051*PI()/180))</f>
        <v/>
      </c>
      <c r="N1102" s="652" t="str">
        <f>IF(C1102="","",L1102+P1058*SIN(O1051*PI()/180))</f>
        <v/>
      </c>
      <c r="O1102" s="644" t="str">
        <f t="shared" si="158"/>
        <v>-</v>
      </c>
      <c r="P1102" s="654" t="str">
        <f>IF(C1102="","",(PI()*O1102/180*(R1059*M1102-N1102*S1059)-Q1102*(S1058*R1059-S1059*R1058))/S1057/(R1059-S1059))</f>
        <v/>
      </c>
      <c r="Q1102" s="655" t="str">
        <f>IF(C1102="","",O1102/180*PI()*(L1102-M1102)/(R1058-S1058))</f>
        <v/>
      </c>
      <c r="R1102" s="656" t="str">
        <f>IF(C1102="","",(O1102/180*PI()*N1102-Q1102*R1058-S1102*S1057)/R1059)</f>
        <v/>
      </c>
      <c r="S1102" s="657" t="str">
        <f t="shared" si="154"/>
        <v/>
      </c>
      <c r="T1102" s="670" t="str">
        <f t="shared" si="155"/>
        <v/>
      </c>
      <c r="U1102" s="671" t="str">
        <f t="shared" si="156"/>
        <v/>
      </c>
      <c r="V1102" s="333"/>
      <c r="W1102" s="185"/>
      <c r="X1102" s="141"/>
      <c r="Z1102" s="187"/>
      <c r="AA1102" s="187"/>
    </row>
    <row r="1103" spans="1:27" s="186" customFormat="1" ht="15" customHeight="1">
      <c r="A1103" s="215"/>
      <c r="B1103" s="168"/>
      <c r="C1103" s="668" t="str">
        <f>IF(Q1051="","",IF(C1102="","",IF(C1102+1&lt;=Q1051,C1102+1,"")))</f>
        <v/>
      </c>
      <c r="D1103" s="236"/>
      <c r="E1103" s="195"/>
      <c r="F1103" s="195"/>
      <c r="G1103" s="195"/>
      <c r="H1103" s="195"/>
      <c r="I1103" s="195"/>
      <c r="J1103" s="196"/>
      <c r="K1103" s="641"/>
      <c r="L1103" s="647" t="str">
        <f t="shared" si="157"/>
        <v/>
      </c>
      <c r="M1103" s="651" t="str">
        <f>IF(C1103="","",L1103-Q1058*COS(O1051*PI()/180))</f>
        <v/>
      </c>
      <c r="N1103" s="652" t="str">
        <f>IF(C1103="","",L1103+P1058*SIN(O1051*PI()/180))</f>
        <v/>
      </c>
      <c r="O1103" s="644" t="str">
        <f t="shared" si="158"/>
        <v>-</v>
      </c>
      <c r="P1103" s="654" t="str">
        <f>IF(C1103="","",(PI()*O1103/180*(R1059*M1103-N1103*S1059)-Q1103*(S1058*R1059-S1059*R1058))/S1057/(R1059-S1059))</f>
        <v/>
      </c>
      <c r="Q1103" s="655" t="str">
        <f>IF(C1103="","",O1103/180*PI()*(L1103-M1103)/(R1058-S1058))</f>
        <v/>
      </c>
      <c r="R1103" s="656" t="str">
        <f>IF(C1103="","",(O1103/180*PI()*N1103-Q1103*R1058-S1103*S1057)/R1059)</f>
        <v/>
      </c>
      <c r="S1103" s="657" t="str">
        <f t="shared" si="154"/>
        <v/>
      </c>
      <c r="T1103" s="670" t="str">
        <f t="shared" si="155"/>
        <v/>
      </c>
      <c r="U1103" s="671" t="str">
        <f t="shared" si="156"/>
        <v/>
      </c>
      <c r="V1103" s="333"/>
      <c r="W1103" s="185"/>
      <c r="X1103" s="141"/>
      <c r="Z1103" s="187"/>
      <c r="AA1103" s="187"/>
    </row>
    <row r="1104" spans="1:27" s="186" customFormat="1" ht="15" customHeight="1">
      <c r="A1104" s="215"/>
      <c r="B1104" s="168"/>
      <c r="C1104" s="668" t="str">
        <f>IF(Q1051="","",IF(C1103="","",IF(C1103+1&lt;=Q1051,C1103+1,"")))</f>
        <v/>
      </c>
      <c r="D1104" s="236"/>
      <c r="E1104" s="195"/>
      <c r="F1104" s="195"/>
      <c r="G1104" s="195"/>
      <c r="H1104" s="195"/>
      <c r="I1104" s="195"/>
      <c r="J1104" s="196"/>
      <c r="K1104" s="641"/>
      <c r="L1104" s="647" t="str">
        <f t="shared" si="157"/>
        <v/>
      </c>
      <c r="M1104" s="651" t="str">
        <f>IF(C1104="","",L1104-Q1058*COS(O1051*PI()/180))</f>
        <v/>
      </c>
      <c r="N1104" s="652" t="str">
        <f>IF(C1104="","",L1104+P1058*SIN(O1051*PI()/180))</f>
        <v/>
      </c>
      <c r="O1104" s="644" t="str">
        <f t="shared" si="158"/>
        <v>-</v>
      </c>
      <c r="P1104" s="654" t="str">
        <f>IF(C1104="","",(PI()*O1104/180*(R1059*M1104-N1104*S1059)-Q1104*(S1058*R1059-S1059*R1058))/S1057/(R1059-S1059))</f>
        <v/>
      </c>
      <c r="Q1104" s="655" t="str">
        <f>IF(C1104="","",O1104/180*PI()*(L1104-M1104)/(R1058-S1058))</f>
        <v/>
      </c>
      <c r="R1104" s="656" t="str">
        <f>IF(C1104="","",(O1104/180*PI()*N1104-Q1104*R1058-S1104*S1057)/R1059)</f>
        <v/>
      </c>
      <c r="S1104" s="657" t="str">
        <f t="shared" si="154"/>
        <v/>
      </c>
      <c r="T1104" s="670" t="str">
        <f t="shared" si="155"/>
        <v/>
      </c>
      <c r="U1104" s="671" t="str">
        <f t="shared" si="156"/>
        <v/>
      </c>
      <c r="V1104" s="333"/>
      <c r="W1104" s="185"/>
      <c r="X1104" s="141"/>
      <c r="Z1104" s="187"/>
      <c r="AA1104" s="187"/>
    </row>
    <row r="1105" spans="1:27" s="186" customFormat="1" ht="15" customHeight="1">
      <c r="A1105" s="215"/>
      <c r="B1105" s="168"/>
      <c r="C1105" s="668" t="str">
        <f>IF(Q1051="","",IF(C1104="","",IF(C1104+1&lt;=Q1051,C1104+1,"")))</f>
        <v/>
      </c>
      <c r="D1105" s="236"/>
      <c r="E1105" s="195"/>
      <c r="F1105" s="195"/>
      <c r="G1105" s="195"/>
      <c r="H1105" s="195"/>
      <c r="I1105" s="195"/>
      <c r="J1105" s="196"/>
      <c r="K1105" s="641"/>
      <c r="L1105" s="647" t="str">
        <f t="shared" si="157"/>
        <v/>
      </c>
      <c r="M1105" s="651" t="str">
        <f>IF(C1105="","",L1105-Q1058*COS(O1051*PI()/180))</f>
        <v/>
      </c>
      <c r="N1105" s="652" t="str">
        <f>IF(C1105="","",L1105+P1058*SIN(O1051*PI()/180))</f>
        <v/>
      </c>
      <c r="O1105" s="644" t="str">
        <f t="shared" si="158"/>
        <v>-</v>
      </c>
      <c r="P1105" s="654" t="str">
        <f>IF(C1105="","",(PI()*O1105/180*(R1059*M1105-N1105*S1059)-Q1105*(S1058*R1059-S1059*R1058))/S1057/(R1059-S1059))</f>
        <v/>
      </c>
      <c r="Q1105" s="655" t="str">
        <f>IF(C1105="","",O1105/180*PI()*(L1105-M1105)/(R1058-S1058))</f>
        <v/>
      </c>
      <c r="R1105" s="656" t="str">
        <f>IF(C1105="","",(O1105/180*PI()*N1105-Q1105*R1058-S1105*S1057)/R1059)</f>
        <v/>
      </c>
      <c r="S1105" s="657" t="str">
        <f t="shared" si="154"/>
        <v/>
      </c>
      <c r="T1105" s="670" t="str">
        <f t="shared" si="155"/>
        <v/>
      </c>
      <c r="U1105" s="671" t="str">
        <f t="shared" si="156"/>
        <v/>
      </c>
      <c r="V1105" s="333"/>
      <c r="W1105" s="185"/>
      <c r="X1105" s="141"/>
      <c r="Z1105" s="187"/>
      <c r="AA1105" s="187"/>
    </row>
    <row r="1106" spans="1:27" s="186" customFormat="1" ht="15" customHeight="1">
      <c r="A1106" s="215"/>
      <c r="B1106" s="168"/>
      <c r="C1106" s="668" t="str">
        <f>IF(Q1051="","",IF(C1105="","",IF(C1105+1&lt;=Q1051,C1105+1,"")))</f>
        <v/>
      </c>
      <c r="D1106" s="236"/>
      <c r="E1106" s="195"/>
      <c r="F1106" s="195"/>
      <c r="G1106" s="195"/>
      <c r="H1106" s="195"/>
      <c r="I1106" s="195"/>
      <c r="J1106" s="196"/>
      <c r="K1106" s="641"/>
      <c r="L1106" s="647" t="str">
        <f t="shared" si="157"/>
        <v/>
      </c>
      <c r="M1106" s="651" t="str">
        <f>IF(C1106="","",L1106-Q1058*COS(O1051*PI()/180))</f>
        <v/>
      </c>
      <c r="N1106" s="652" t="str">
        <f>IF(C1106="","",L1106+P1058*SIN(O1051*PI()/180))</f>
        <v/>
      </c>
      <c r="O1106" s="644" t="str">
        <f t="shared" si="158"/>
        <v>-</v>
      </c>
      <c r="P1106" s="654" t="str">
        <f>IF(C1106="","",(PI()*O1106/180*(R1059*M1106-N1106*S1059)-Q1106*(S1058*R1059-S1059*R1058))/S1057/(R1059-S1059))</f>
        <v/>
      </c>
      <c r="Q1106" s="655" t="str">
        <f>IF(C1106="","",O1106/180*PI()*(L1106-M1106)/(R1058-S1058))</f>
        <v/>
      </c>
      <c r="R1106" s="656" t="str">
        <f>IF(C1106="","",(O1106/180*PI()*N1106-Q1106*R1058-S1106*S1057)/R1059)</f>
        <v/>
      </c>
      <c r="S1106" s="657" t="str">
        <f t="shared" si="154"/>
        <v/>
      </c>
      <c r="T1106" s="670" t="str">
        <f t="shared" si="155"/>
        <v/>
      </c>
      <c r="U1106" s="671" t="str">
        <f t="shared" si="156"/>
        <v/>
      </c>
      <c r="V1106" s="333"/>
      <c r="W1106" s="185"/>
      <c r="X1106" s="141"/>
      <c r="Z1106" s="187"/>
      <c r="AA1106" s="187"/>
    </row>
    <row r="1107" spans="1:27" s="186" customFormat="1" ht="15" customHeight="1">
      <c r="A1107" s="215"/>
      <c r="B1107" s="168"/>
      <c r="C1107" s="668" t="str">
        <f>IF(Q1051="","",IF(C1106="","",IF(C1106+1&lt;=Q1051,C1106+1,"")))</f>
        <v/>
      </c>
      <c r="D1107" s="236"/>
      <c r="E1107" s="195"/>
      <c r="F1107" s="195"/>
      <c r="G1107" s="195"/>
      <c r="H1107" s="195"/>
      <c r="I1107" s="195"/>
      <c r="J1107" s="196"/>
      <c r="K1107" s="641"/>
      <c r="L1107" s="647" t="str">
        <f t="shared" si="157"/>
        <v/>
      </c>
      <c r="M1107" s="651" t="str">
        <f>IF(C1107="","",L1107-Q1058*COS(O1051*PI()/180))</f>
        <v/>
      </c>
      <c r="N1107" s="652" t="str">
        <f>IF(C1107="","",L1107+P1058*SIN(O1051*PI()/180))</f>
        <v/>
      </c>
      <c r="O1107" s="644" t="str">
        <f t="shared" si="158"/>
        <v>-</v>
      </c>
      <c r="P1107" s="654" t="str">
        <f>IF(C1107="","",(PI()*O1107/180*(R1059*M1107-N1107*S1059)-Q1107*(S1058*R1059-S1059*R1058))/S1057/(R1059-S1059))</f>
        <v/>
      </c>
      <c r="Q1107" s="655" t="str">
        <f>IF(C1107="","",O1107/180*PI()*(L1107-M1107)/(R1058-S1058))</f>
        <v/>
      </c>
      <c r="R1107" s="656" t="str">
        <f>IF(C1107="","",(O1107/180*PI()*N1107-Q1107*R1058-S1107*S1057)/R1059)</f>
        <v/>
      </c>
      <c r="S1107" s="657" t="str">
        <f t="shared" si="154"/>
        <v/>
      </c>
      <c r="T1107" s="670" t="str">
        <f t="shared" si="155"/>
        <v/>
      </c>
      <c r="U1107" s="671" t="str">
        <f t="shared" si="156"/>
        <v/>
      </c>
      <c r="V1107" s="333"/>
      <c r="W1107" s="185"/>
      <c r="X1107" s="141"/>
      <c r="Z1107" s="187"/>
      <c r="AA1107" s="187"/>
    </row>
    <row r="1108" spans="1:27" s="186" customFormat="1" ht="15" customHeight="1">
      <c r="A1108" s="215"/>
      <c r="B1108" s="168"/>
      <c r="C1108" s="668" t="str">
        <f>IF(Q1051="","",IF(C1107="","",IF(C1107+1&lt;=Q1051,C1107+1,"")))</f>
        <v/>
      </c>
      <c r="D1108" s="236"/>
      <c r="E1108" s="195"/>
      <c r="F1108" s="195"/>
      <c r="G1108" s="195"/>
      <c r="H1108" s="195"/>
      <c r="I1108" s="195"/>
      <c r="J1108" s="196"/>
      <c r="K1108" s="641"/>
      <c r="L1108" s="647" t="str">
        <f t="shared" si="157"/>
        <v/>
      </c>
      <c r="M1108" s="651" t="str">
        <f>IF(C1108="","",L1108-Q1058*COS(O1051*PI()/180))</f>
        <v/>
      </c>
      <c r="N1108" s="652" t="str">
        <f>IF(C1108="","",L1108+P1058*SIN(O1051*PI()/180))</f>
        <v/>
      </c>
      <c r="O1108" s="644" t="str">
        <f t="shared" si="158"/>
        <v>-</v>
      </c>
      <c r="P1108" s="654" t="str">
        <f>IF(C1108="","",(PI()*O1108/180*(R1059*M1108-N1108*S1059)-Q1108*(S1058*R1059-S1059*R1058))/S1057/(R1059-S1059))</f>
        <v/>
      </c>
      <c r="Q1108" s="655" t="str">
        <f>IF(C1108="","",O1108/180*PI()*(L1108-M1108)/(R1058-S1058))</f>
        <v/>
      </c>
      <c r="R1108" s="656" t="str">
        <f>IF(C1108="","",(O1108/180*PI()*N1108-Q1108*R1058-S1108*S1057)/R1059)</f>
        <v/>
      </c>
      <c r="S1108" s="657" t="str">
        <f t="shared" si="154"/>
        <v/>
      </c>
      <c r="T1108" s="670" t="str">
        <f t="shared" si="155"/>
        <v/>
      </c>
      <c r="U1108" s="671" t="str">
        <f t="shared" si="156"/>
        <v/>
      </c>
      <c r="V1108" s="333"/>
      <c r="W1108" s="185"/>
      <c r="X1108" s="141"/>
      <c r="Z1108" s="187"/>
      <c r="AA1108" s="187"/>
    </row>
    <row r="1109" spans="1:27" s="186" customFormat="1" ht="15" customHeight="1">
      <c r="A1109" s="215"/>
      <c r="B1109" s="168"/>
      <c r="C1109" s="668" t="str">
        <f>IF(Q1051="","",IF(C1108="","",IF(C1108+1&lt;=Q1051,C1108+1,"")))</f>
        <v/>
      </c>
      <c r="D1109" s="236"/>
      <c r="E1109" s="195"/>
      <c r="F1109" s="195"/>
      <c r="G1109" s="195"/>
      <c r="H1109" s="195"/>
      <c r="I1109" s="195"/>
      <c r="J1109" s="196"/>
      <c r="K1109" s="641"/>
      <c r="L1109" s="647" t="str">
        <f t="shared" si="157"/>
        <v/>
      </c>
      <c r="M1109" s="651" t="str">
        <f>IF(C1109="","",L1109-Q1058*COS(O1051*PI()/180))</f>
        <v/>
      </c>
      <c r="N1109" s="652" t="str">
        <f>IF(C1109="","",L1109+P1058*SIN(O1051*PI()/180))</f>
        <v/>
      </c>
      <c r="O1109" s="644" t="str">
        <f t="shared" si="158"/>
        <v>-</v>
      </c>
      <c r="P1109" s="654" t="str">
        <f>IF(C1109="","",(PI()*O1109/180*(R1059*M1109-N1109*S1059)-Q1109*(S1058*R1059-S1059*R1058))/S1057/(R1059-S1059))</f>
        <v/>
      </c>
      <c r="Q1109" s="655" t="str">
        <f>IF(C1109="","",O1109/180*PI()*(L1109-M1109)/(R1058-S1058))</f>
        <v/>
      </c>
      <c r="R1109" s="656" t="str">
        <f>IF(C1109="","",(O1109/180*PI()*N1109-Q1109*R1058-S1109*S1057)/R1059)</f>
        <v/>
      </c>
      <c r="S1109" s="657" t="str">
        <f t="shared" si="154"/>
        <v/>
      </c>
      <c r="T1109" s="670" t="str">
        <f t="shared" si="155"/>
        <v/>
      </c>
      <c r="U1109" s="671" t="str">
        <f t="shared" si="156"/>
        <v/>
      </c>
      <c r="V1109" s="333"/>
      <c r="W1109" s="185"/>
      <c r="X1109" s="141"/>
      <c r="Z1109" s="187"/>
      <c r="AA1109" s="187"/>
    </row>
    <row r="1110" spans="1:27" s="186" customFormat="1" ht="15" customHeight="1">
      <c r="A1110" s="215"/>
      <c r="B1110" s="168"/>
      <c r="C1110" s="668" t="str">
        <f>IF(Q1051="","",IF(C1109="","",IF(C1109+1&lt;=Q1051,C1109+1,"")))</f>
        <v/>
      </c>
      <c r="D1110" s="236"/>
      <c r="E1110" s="195"/>
      <c r="F1110" s="195"/>
      <c r="G1110" s="195"/>
      <c r="H1110" s="195"/>
      <c r="I1110" s="195"/>
      <c r="J1110" s="196"/>
      <c r="K1110" s="641"/>
      <c r="L1110" s="647" t="str">
        <f t="shared" si="157"/>
        <v/>
      </c>
      <c r="M1110" s="651" t="str">
        <f>IF(C1110="","",L1110-Q1058*COS(O1051*PI()/180))</f>
        <v/>
      </c>
      <c r="N1110" s="652" t="str">
        <f>IF(C1110="","",L1110+P1058*SIN(O1051*PI()/180))</f>
        <v/>
      </c>
      <c r="O1110" s="644" t="str">
        <f t="shared" si="158"/>
        <v>-</v>
      </c>
      <c r="P1110" s="654" t="str">
        <f>IF(C1110="","",(PI()*O1110/180*(R1059*M1110-N1110*S1059)-Q1110*(S1058*R1059-S1059*R1058))/S1057/(R1059-S1059))</f>
        <v/>
      </c>
      <c r="Q1110" s="655" t="str">
        <f>IF(C1110="","",O1110/180*PI()*(L1110-M1110)/(R1058-S1058))</f>
        <v/>
      </c>
      <c r="R1110" s="656" t="str">
        <f>IF(C1110="","",(O1110/180*PI()*N1110-Q1110*R1058-S1110*S1057)/R1059)</f>
        <v/>
      </c>
      <c r="S1110" s="657" t="str">
        <f t="shared" si="154"/>
        <v/>
      </c>
      <c r="T1110" s="670" t="str">
        <f t="shared" si="155"/>
        <v/>
      </c>
      <c r="U1110" s="671" t="str">
        <f t="shared" si="156"/>
        <v/>
      </c>
      <c r="V1110" s="333"/>
      <c r="W1110" s="185"/>
      <c r="X1110" s="141"/>
      <c r="Z1110" s="187"/>
      <c r="AA1110" s="187"/>
    </row>
    <row r="1111" spans="1:27" s="186" customFormat="1" ht="15" customHeight="1">
      <c r="A1111" s="215"/>
      <c r="B1111" s="168"/>
      <c r="C1111" s="668" t="str">
        <f>IF(Q1051="","",IF(C1110="","",IF(C1110+1&lt;=Q1051,C1110+1,"")))</f>
        <v/>
      </c>
      <c r="D1111" s="236"/>
      <c r="E1111" s="195"/>
      <c r="F1111" s="195"/>
      <c r="G1111" s="195"/>
      <c r="H1111" s="195"/>
      <c r="I1111" s="195"/>
      <c r="J1111" s="196"/>
      <c r="K1111" s="641"/>
      <c r="L1111" s="647" t="str">
        <f t="shared" si="157"/>
        <v/>
      </c>
      <c r="M1111" s="651" t="str">
        <f>IF(C1111="","",L1111-Q1058*COS(O1051*PI()/180))</f>
        <v/>
      </c>
      <c r="N1111" s="652" t="str">
        <f>IF(C1111="","",L1111+P1058*SIN(O1051*PI()/180))</f>
        <v/>
      </c>
      <c r="O1111" s="644" t="str">
        <f t="shared" si="158"/>
        <v>-</v>
      </c>
      <c r="P1111" s="654" t="str">
        <f>IF(C1111="","",(PI()*O1111/180*(R1059*M1111-N1111*S1059)-Q1111*(S1058*R1059-S1059*R1058))/S1057/(R1059-S1059))</f>
        <v/>
      </c>
      <c r="Q1111" s="655" t="str">
        <f>IF(C1111="","",O1111/180*PI()*(L1111-M1111)/(R1058-S1058))</f>
        <v/>
      </c>
      <c r="R1111" s="656" t="str">
        <f>IF(C1111="","",(O1111/180*PI()*N1111-Q1111*R1058-S1111*S1057)/R1059)</f>
        <v/>
      </c>
      <c r="S1111" s="657" t="str">
        <f t="shared" si="154"/>
        <v/>
      </c>
      <c r="T1111" s="670" t="str">
        <f t="shared" si="155"/>
        <v/>
      </c>
      <c r="U1111" s="671" t="str">
        <f t="shared" si="156"/>
        <v/>
      </c>
      <c r="V1111" s="333"/>
      <c r="W1111" s="185"/>
      <c r="X1111" s="141"/>
      <c r="Z1111" s="187"/>
      <c r="AA1111" s="187"/>
    </row>
    <row r="1112" spans="1:27" s="186" customFormat="1" ht="15" customHeight="1">
      <c r="A1112" s="215"/>
      <c r="B1112" s="168"/>
      <c r="C1112" s="668" t="str">
        <f>IF(Q1051="","",IF(C1111="","",IF(C1111+1&lt;=Q1051,C1111+1,"")))</f>
        <v/>
      </c>
      <c r="D1112" s="236"/>
      <c r="E1112" s="195"/>
      <c r="F1112" s="195"/>
      <c r="G1112" s="195"/>
      <c r="H1112" s="195"/>
      <c r="I1112" s="195"/>
      <c r="J1112" s="196"/>
      <c r="K1112" s="641"/>
      <c r="L1112" s="647" t="str">
        <f t="shared" si="157"/>
        <v/>
      </c>
      <c r="M1112" s="651" t="str">
        <f>IF(C1112="","",L1112-Q1058*COS(O1051*PI()/180))</f>
        <v/>
      </c>
      <c r="N1112" s="652" t="str">
        <f>IF(C1112="","",L1112+P1058*SIN(O1051*PI()/180))</f>
        <v/>
      </c>
      <c r="O1112" s="644" t="str">
        <f t="shared" si="158"/>
        <v>-</v>
      </c>
      <c r="P1112" s="654" t="str">
        <f>IF(C1112="","",(PI()*O1112/180*(R1059*M1112-N1112*S1059)-Q1112*(S1058*R1059-S1059*R1058))/S1057/(R1059-S1059))</f>
        <v/>
      </c>
      <c r="Q1112" s="655" t="str">
        <f>IF(C1112="","",O1112/180*PI()*(L1112-M1112)/(R1058-S1058))</f>
        <v/>
      </c>
      <c r="R1112" s="656" t="str">
        <f>IF(C1112="","",(O1112/180*PI()*N1112-Q1112*R1058-S1112*S1057)/R1059)</f>
        <v/>
      </c>
      <c r="S1112" s="657" t="str">
        <f t="shared" si="154"/>
        <v/>
      </c>
      <c r="T1112" s="670" t="str">
        <f t="shared" si="155"/>
        <v/>
      </c>
      <c r="U1112" s="671" t="str">
        <f t="shared" si="156"/>
        <v/>
      </c>
      <c r="V1112" s="333"/>
      <c r="W1112" s="185"/>
      <c r="X1112" s="141"/>
      <c r="Z1112" s="187"/>
      <c r="AA1112" s="187"/>
    </row>
    <row r="1113" spans="1:27" s="186" customFormat="1" ht="15" customHeight="1">
      <c r="A1113" s="215"/>
      <c r="B1113" s="168"/>
      <c r="C1113" s="668" t="str">
        <f>IF(Q1051="","",IF(C1112="","",IF(C1112+1&lt;=Q1051,C1112+1,"")))</f>
        <v/>
      </c>
      <c r="D1113" s="236"/>
      <c r="E1113" s="195"/>
      <c r="F1113" s="195"/>
      <c r="G1113" s="195"/>
      <c r="H1113" s="195"/>
      <c r="I1113" s="195"/>
      <c r="J1113" s="196"/>
      <c r="K1113" s="641"/>
      <c r="L1113" s="647" t="str">
        <f t="shared" si="157"/>
        <v/>
      </c>
      <c r="M1113" s="651" t="str">
        <f>IF(C1113="","",L1113-Q1058*COS(O1051*PI()/180))</f>
        <v/>
      </c>
      <c r="N1113" s="652" t="str">
        <f>IF(C1113="","",L1113+P1058*SIN(O1051*PI()/180))</f>
        <v/>
      </c>
      <c r="O1113" s="644" t="str">
        <f t="shared" si="158"/>
        <v>-</v>
      </c>
      <c r="P1113" s="654" t="str">
        <f>IF(C1113="","",(PI()*O1113/180*(R1059*M1113-N1113*S1059)-Q1113*(S1058*R1059-S1059*R1058))/S1057/(R1059-S1059))</f>
        <v/>
      </c>
      <c r="Q1113" s="655" t="str">
        <f>IF(C1113="","",O1113/180*PI()*(L1113-M1113)/(R1058-S1058))</f>
        <v/>
      </c>
      <c r="R1113" s="656" t="str">
        <f>IF(C1113="","",(O1113/180*PI()*N1113-Q1113*R1058-S1113*S1057)/R1059)</f>
        <v/>
      </c>
      <c r="S1113" s="657" t="str">
        <f t="shared" si="154"/>
        <v/>
      </c>
      <c r="T1113" s="670" t="str">
        <f t="shared" si="155"/>
        <v/>
      </c>
      <c r="U1113" s="671" t="str">
        <f t="shared" si="156"/>
        <v/>
      </c>
      <c r="V1113" s="333"/>
      <c r="W1113" s="185"/>
      <c r="X1113" s="141"/>
      <c r="Z1113" s="187"/>
      <c r="AA1113" s="187"/>
    </row>
    <row r="1114" spans="1:27" s="186" customFormat="1" ht="15" customHeight="1" thickBot="1">
      <c r="A1114" s="215"/>
      <c r="B1114" s="168"/>
      <c r="C1114" s="669" t="str">
        <f>IF(Q1051="","",IF(C1113="","",IF(C1113+1&lt;=Q1051,C1113+1,"")))</f>
        <v/>
      </c>
      <c r="D1114" s="236"/>
      <c r="E1114" s="195"/>
      <c r="F1114" s="195"/>
      <c r="G1114" s="195"/>
      <c r="H1114" s="195"/>
      <c r="I1114" s="195"/>
      <c r="J1114" s="196"/>
      <c r="K1114" s="641"/>
      <c r="L1114" s="648" t="str">
        <f t="shared" si="157"/>
        <v/>
      </c>
      <c r="M1114" s="708" t="str">
        <f>IF(C1114="","",L1114-Q1058*COS(O1051*PI()/180))</f>
        <v/>
      </c>
      <c r="N1114" s="709" t="str">
        <f>IF(C1114="","",L1114+P1058*SIN(O1051*PI()/180))</f>
        <v/>
      </c>
      <c r="O1114" s="645" t="str">
        <f t="shared" si="158"/>
        <v>-</v>
      </c>
      <c r="P1114" s="703" t="str">
        <f>IF(C1114="","",(PI()*O1114/180*(R1059*M1114-N1114*S1059)-Q1114*(S1058*R1059-S1059*R1058))/S1057/(R1059-S1059))</f>
        <v/>
      </c>
      <c r="Q1114" s="704" t="str">
        <f>IF(C1114="","",O1114/180*PI()*(L1114-M1114)/(R1058-S1058))</f>
        <v/>
      </c>
      <c r="R1114" s="705" t="str">
        <f>IF(C1114="","",(O1114/180*PI()*N1114-Q1114*R1058-S1114*S1057)/R1059)</f>
        <v/>
      </c>
      <c r="S1114" s="698" t="str">
        <f t="shared" si="154"/>
        <v/>
      </c>
      <c r="T1114" s="699" t="str">
        <f t="shared" si="155"/>
        <v/>
      </c>
      <c r="U1114" s="700" t="str">
        <f t="shared" si="156"/>
        <v/>
      </c>
      <c r="V1114" s="333"/>
      <c r="W1114" s="185"/>
      <c r="X1114" s="141"/>
      <c r="Z1114" s="187"/>
      <c r="AA1114" s="187"/>
    </row>
    <row r="1115" spans="1:27" s="186" customFormat="1" ht="15" customHeight="1">
      <c r="A1115" s="215"/>
      <c r="B1115" s="194"/>
      <c r="C1115" s="200"/>
      <c r="D1115" s="195"/>
      <c r="E1115" s="195"/>
      <c r="F1115" s="195"/>
      <c r="G1115" s="195"/>
      <c r="H1115" s="195"/>
      <c r="I1115" s="195"/>
      <c r="J1115" s="196"/>
      <c r="K1115" s="196"/>
      <c r="L1115" s="144"/>
      <c r="M1115" s="195"/>
      <c r="N1115" s="195"/>
      <c r="O1115" s="195"/>
      <c r="P1115" s="195"/>
      <c r="Q1115" s="195"/>
      <c r="R1115" s="195"/>
      <c r="S1115" s="195"/>
      <c r="T1115" s="195"/>
      <c r="U1115" s="195"/>
      <c r="V1115" s="197"/>
      <c r="W1115" s="185"/>
      <c r="X1115" s="141"/>
      <c r="Z1115" s="187"/>
      <c r="AA1115" s="187"/>
    </row>
    <row r="1116" spans="1:27" s="186" customFormat="1" ht="15" customHeight="1">
      <c r="A1116" s="215"/>
      <c r="B1116" s="194"/>
      <c r="C1116" s="200"/>
      <c r="D1116" s="195"/>
      <c r="E1116" s="195"/>
      <c r="F1116" s="195"/>
      <c r="G1116" s="195"/>
      <c r="H1116" s="195"/>
      <c r="I1116" s="195"/>
      <c r="J1116" s="196"/>
      <c r="K1116" s="196"/>
      <c r="L1116" s="144"/>
      <c r="M1116" s="195"/>
      <c r="N1116" s="195"/>
      <c r="O1116" s="195"/>
      <c r="P1116" s="195"/>
      <c r="Q1116" s="195"/>
      <c r="R1116" s="195"/>
      <c r="S1116" s="195"/>
      <c r="T1116" s="195"/>
      <c r="U1116" s="195"/>
      <c r="V1116" s="197"/>
      <c r="W1116" s="185"/>
      <c r="X1116" s="141"/>
      <c r="Z1116" s="187"/>
      <c r="AA1116" s="187"/>
    </row>
    <row r="1117" spans="1:27" s="186" customFormat="1" ht="15" customHeight="1" thickBot="1">
      <c r="A1117" s="215"/>
      <c r="B1117" s="279" t="s">
        <v>1010</v>
      </c>
      <c r="C1117" s="280"/>
      <c r="D1117" s="281"/>
      <c r="E1117" s="281"/>
      <c r="F1117" s="281"/>
      <c r="G1117" s="281"/>
      <c r="H1117" s="281"/>
      <c r="I1117" s="281"/>
      <c r="J1117" s="282"/>
      <c r="K1117" s="282"/>
      <c r="L1117" s="283"/>
      <c r="M1117" s="281"/>
      <c r="N1117" s="281"/>
      <c r="O1117" s="281"/>
      <c r="P1117" s="281"/>
      <c r="Q1117" s="281"/>
      <c r="R1117" s="281"/>
      <c r="S1117" s="284"/>
      <c r="T1117" s="281"/>
      <c r="U1117" s="281" t="s">
        <v>678</v>
      </c>
      <c r="V1117" s="285" t="s">
        <v>27</v>
      </c>
      <c r="W1117" s="286"/>
      <c r="X1117" s="287"/>
      <c r="Z1117" s="187"/>
      <c r="AA1117" s="187"/>
    </row>
    <row r="1118" spans="1:27" s="186" customFormat="1" ht="15" customHeight="1" thickBot="1">
      <c r="A1118" s="215"/>
      <c r="B1118" s="210"/>
      <c r="C1118" s="133">
        <f>SUMIF(Densidades!A:A,'Memória TOTAL'!X1118,Densidades!B:B)</f>
        <v>0</v>
      </c>
      <c r="D1118" s="134">
        <f>SUMIF(Densidades!A:A,'Memória TOTAL'!X1118,Densidades!C:C)</f>
        <v>0</v>
      </c>
      <c r="E1118" s="134" t="str">
        <f>IF(I1118=15,"FIRECLAY MORTAR",IF(I1118=16,"ALUMINA MORTAR",IF(I1118=17,"BASIC MORTAR",IF(I1118=18,"MORTAR","-"))))</f>
        <v>-</v>
      </c>
      <c r="F1118" s="134" t="str">
        <f>IF(I1118=15,"FIRECLAY MORTAR",IF(I1118=16,"ALUMINA MORTAR",IF(I1118=17,"BASIC MORTAR",IF(I1118=18,"MORTAR","-"))))</f>
        <v>-</v>
      </c>
      <c r="G1118" s="134" t="str">
        <f>IF(I1118=15,"FIRECLAY MORTAR",IF(I1118=16,"ALUMINA MORTAR",IF(I1118=17,"BASIC MORTAR",IF(I1118=18,"MORTAR","-"))))</f>
        <v>-</v>
      </c>
      <c r="H1118" s="134" t="str">
        <f>IF(I1118=15,"FIRECLAY MORTAR",IF(I1118=16,"ALUMINA MORTAR",IF(I1118=17,"BASIC MORTAR",IF(I1118=18,"MORTAR","-"))))</f>
        <v>-</v>
      </c>
      <c r="I1118" s="134">
        <f>SUMIF(Densidades!A:A,'Memória TOTAL'!X1118,Densidades!G:G)</f>
        <v>0</v>
      </c>
      <c r="J1118" s="136">
        <f>SUMIF(Formatos!A:A,'Memória TOTAL'!X1119,Formatos!G:G)</f>
        <v>0</v>
      </c>
      <c r="K1118" s="137">
        <f>SUMIF(Densidades!A:A,'Memória TOTAL'!X1118,Densidades!I:I)</f>
        <v>0</v>
      </c>
      <c r="L1118" s="188">
        <v>0</v>
      </c>
      <c r="M1118" s="189"/>
      <c r="N1118" s="189"/>
      <c r="O1118" s="189"/>
      <c r="P1118" s="189"/>
      <c r="Q1118" s="189"/>
      <c r="R1118" s="189"/>
      <c r="S1118" s="189"/>
      <c r="T1118" s="190"/>
      <c r="U1118" s="290"/>
      <c r="V1118" s="192" t="e">
        <f>(W1051*J1051*C1118+W1055*J1055*C1118+W1059*J1059*C1118)*U1118</f>
        <v>#VALUE!</v>
      </c>
      <c r="W1118" s="193" t="str">
        <f>IF(C1118=0,"",ROUNDUP(SUM(V1118:V1119)*(1+L1118)/D1118,2)*D1118)</f>
        <v/>
      </c>
      <c r="X1118" s="263"/>
      <c r="Z1118" s="187"/>
      <c r="AA1118" s="187"/>
    </row>
    <row r="1119" spans="1:27" s="186" customFormat="1" ht="15" customHeight="1">
      <c r="A1119" s="215"/>
      <c r="B1119" s="210"/>
      <c r="C1119" s="133"/>
      <c r="D1119" s="195"/>
      <c r="E1119" s="195"/>
      <c r="F1119" s="195"/>
      <c r="G1119" s="195"/>
      <c r="H1119" s="195"/>
      <c r="I1119" s="195"/>
      <c r="J1119" s="196"/>
      <c r="K1119" s="196"/>
      <c r="L1119" s="144"/>
      <c r="M1119" s="195"/>
      <c r="N1119" s="195"/>
      <c r="O1119" s="195"/>
      <c r="P1119" s="195"/>
      <c r="Q1119" s="195"/>
      <c r="R1119" s="195"/>
      <c r="S1119" s="195"/>
      <c r="T1119" s="195"/>
      <c r="U1119" s="195"/>
      <c r="V1119" s="197"/>
      <c r="W1119" s="185"/>
      <c r="X1119" s="141" t="str">
        <f>IF(AND(H1118="-",G1118="-",F1118="-"),E1118,IF(AND(H1118="-",G1118="-",E1118="-"),F1118,IF(AND(H1118="-",F1118="-",E1118="-"),G1118,H1118)))</f>
        <v>-</v>
      </c>
      <c r="Z1119" s="187"/>
      <c r="AA1119" s="187"/>
    </row>
    <row r="1120" spans="1:27" s="186" customFormat="1" ht="15" customHeight="1">
      <c r="A1120" s="215"/>
      <c r="B1120" s="213"/>
      <c r="C1120" s="133"/>
      <c r="D1120" s="195"/>
      <c r="E1120" s="195"/>
      <c r="F1120" s="195"/>
      <c r="G1120" s="195"/>
      <c r="H1120" s="195"/>
      <c r="I1120" s="195"/>
      <c r="J1120" s="196"/>
      <c r="K1120" s="196"/>
      <c r="L1120" s="144"/>
      <c r="M1120" s="195"/>
      <c r="N1120" s="195"/>
      <c r="O1120" s="195"/>
      <c r="P1120" s="195"/>
      <c r="Q1120" s="195"/>
      <c r="R1120" s="195"/>
      <c r="S1120" s="195"/>
      <c r="T1120" s="195"/>
      <c r="U1120" s="195"/>
      <c r="V1120" s="197"/>
      <c r="W1120" s="185"/>
      <c r="X1120" s="141" t="s">
        <v>2</v>
      </c>
      <c r="Z1120" s="187"/>
      <c r="AA1120" s="187"/>
    </row>
    <row r="1121" spans="1:27" ht="15" customHeight="1">
      <c r="A1121" s="215"/>
      <c r="B1121" s="131"/>
      <c r="C1121" s="169"/>
      <c r="D1121" s="170"/>
      <c r="E1121" s="170"/>
      <c r="F1121" s="170"/>
      <c r="G1121" s="170"/>
      <c r="H1121" s="170"/>
      <c r="I1121" s="170"/>
      <c r="J1121" s="171"/>
      <c r="K1121" s="171"/>
      <c r="L1121" s="172"/>
      <c r="M1121" s="170"/>
      <c r="N1121" s="170"/>
      <c r="O1121" s="170"/>
      <c r="P1121" s="170"/>
      <c r="Q1121" s="170"/>
      <c r="R1121" s="170"/>
      <c r="S1121" s="170"/>
      <c r="T1121" s="170"/>
      <c r="U1121" s="170"/>
      <c r="V1121" s="173"/>
      <c r="W1121" s="174"/>
      <c r="X1121" s="175"/>
      <c r="Y1121" s="186"/>
    </row>
    <row r="1122" spans="1:27" s="186" customFormat="1" ht="15" customHeight="1" thickBot="1">
      <c r="A1122" s="215"/>
      <c r="B1122" s="279" t="s">
        <v>1011</v>
      </c>
      <c r="C1122" s="280"/>
      <c r="D1122" s="281"/>
      <c r="E1122" s="281"/>
      <c r="F1122" s="281"/>
      <c r="G1122" s="281"/>
      <c r="H1122" s="281"/>
      <c r="I1122" s="281"/>
      <c r="J1122" s="282"/>
      <c r="K1122" s="282"/>
      <c r="L1122" s="283"/>
      <c r="M1122" s="281"/>
      <c r="N1122" s="281"/>
      <c r="O1122" s="281"/>
      <c r="P1122" s="281"/>
      <c r="Q1122" s="281"/>
      <c r="R1122" s="281" t="s">
        <v>636</v>
      </c>
      <c r="S1122" s="284" t="s">
        <v>637</v>
      </c>
      <c r="T1122" s="281" t="s">
        <v>638</v>
      </c>
      <c r="U1122" s="281" t="s">
        <v>38</v>
      </c>
      <c r="V1122" s="285" t="s">
        <v>27</v>
      </c>
      <c r="W1122" s="286"/>
      <c r="X1122" s="287"/>
      <c r="Z1122" s="187"/>
      <c r="AA1122" s="187"/>
    </row>
    <row r="1123" spans="1:27" s="186" customFormat="1" ht="15" customHeight="1" thickBot="1">
      <c r="A1123" s="215"/>
      <c r="B1123" s="210"/>
      <c r="C1123" s="133">
        <f>SUMIF(Densidades!A:A,'Memória TOTAL'!X1123,Densidades!B:B)</f>
        <v>0</v>
      </c>
      <c r="D1123" s="134">
        <f>SUMIF(Densidades!A:A,'Memória TOTAL'!X1123,Densidades!C:C)</f>
        <v>0</v>
      </c>
      <c r="E1123" s="134" t="str">
        <f>IF(I1123=15,"FIRECLAY MORTAR",IF(I1123=16,"ALUMINA MORTAR",IF(I1123=17,"BASIC MORTAR",IF(I1123=18,"MORTAR","-"))))</f>
        <v>-</v>
      </c>
      <c r="F1123" s="134" t="str">
        <f>IF(I1123=15,"FIRECLAY MORTAR",IF(I1123=16,"ALUMINA MORTAR",IF(I1123=17,"BASIC MORTAR",IF(I1123=18,"MORTAR","-"))))</f>
        <v>-</v>
      </c>
      <c r="G1123" s="134" t="str">
        <f>IF(I1123=15,"FIRECLAY MORTAR",IF(I1123=16,"ALUMINA MORTAR",IF(I1123=17,"BASIC MORTAR",IF(I1123=18,"MORTAR","-"))))</f>
        <v>-</v>
      </c>
      <c r="H1123" s="134" t="str">
        <f>IF(I1123=15,"FIRECLAY MORTAR",IF(I1123=16,"ALUMINA MORTAR",IF(I1123=17,"BASIC MORTAR",IF(I1123=18,"MORTAR","-"))))</f>
        <v>-</v>
      </c>
      <c r="I1123" s="134">
        <f>SUMIF(Densidades!A:A,'Memória TOTAL'!X1123,Densidades!G:G)</f>
        <v>0</v>
      </c>
      <c r="J1123" s="136">
        <f>SUMIF(Formatos!A:A,'Memória TOTAL'!X1124,Formatos!G:G)</f>
        <v>0</v>
      </c>
      <c r="K1123" s="222">
        <f>SUMIF(Densidades!A:A,'Memória TOTAL'!X1123,Densidades!I:I)</f>
        <v>0</v>
      </c>
      <c r="L1123" s="188">
        <v>0</v>
      </c>
      <c r="M1123" s="189"/>
      <c r="N1123" s="189"/>
      <c r="O1123" s="189"/>
      <c r="P1123" s="189"/>
      <c r="Q1123" s="189"/>
      <c r="R1123" s="190">
        <f>((G1051*H1051)+(G1051*E1051)+(H1051*E1051))/1000000</f>
        <v>0</v>
      </c>
      <c r="S1123" s="259">
        <v>2</v>
      </c>
      <c r="T1123" s="190">
        <f>R1123*S1123</f>
        <v>0</v>
      </c>
      <c r="U1123" s="191">
        <f>SUM(W1051:W1061)</f>
        <v>0</v>
      </c>
      <c r="V1123" s="192">
        <f>(T1123*C1123*(1+L1123))*U1123</f>
        <v>0</v>
      </c>
      <c r="W1123" s="140" t="str">
        <f>IF(C1123=0,"",ROUNDUP(SUM(V1123:V1124)*(1+L1123)/D1123,2)*D1123)</f>
        <v/>
      </c>
      <c r="X1123" s="263"/>
      <c r="Z1123" s="187"/>
      <c r="AA1123" s="187"/>
    </row>
    <row r="1124" spans="1:27" s="186" customFormat="1" ht="15" customHeight="1">
      <c r="A1124" s="215"/>
      <c r="B1124" s="210"/>
      <c r="C1124" s="133"/>
      <c r="D1124" s="195"/>
      <c r="E1124" s="195"/>
      <c r="F1124" s="195"/>
      <c r="G1124" s="195"/>
      <c r="H1124" s="195"/>
      <c r="I1124" s="195"/>
      <c r="J1124" s="196"/>
      <c r="K1124" s="196"/>
      <c r="L1124" s="144"/>
      <c r="M1124" s="195"/>
      <c r="N1124" s="195"/>
      <c r="O1124" s="195"/>
      <c r="P1124" s="195"/>
      <c r="Q1124" s="195"/>
      <c r="R1124" s="195"/>
      <c r="S1124" s="195"/>
      <c r="T1124" s="195"/>
      <c r="U1124" s="195"/>
      <c r="V1124" s="197"/>
      <c r="W1124" s="185"/>
      <c r="X1124" s="141" t="str">
        <f>IF(AND(H1123="-",G1123="-",F1123="-"),E1123,IF(AND(H1123="-",G1123="-",E1123="-"),F1123,IF(AND(H1123="-",F1123="-",E1123="-"),G1123,H1123)))</f>
        <v>-</v>
      </c>
      <c r="Z1124" s="187"/>
      <c r="AA1124" s="187"/>
    </row>
    <row r="1125" spans="1:27" s="186" customFormat="1" ht="15" customHeight="1">
      <c r="A1125" s="215"/>
      <c r="B1125" s="213"/>
      <c r="C1125" s="133"/>
      <c r="D1125" s="195"/>
      <c r="E1125" s="195"/>
      <c r="F1125" s="195"/>
      <c r="G1125" s="195"/>
      <c r="H1125" s="195"/>
      <c r="I1125" s="195"/>
      <c r="J1125" s="196"/>
      <c r="K1125" s="196"/>
      <c r="L1125" s="144"/>
      <c r="M1125" s="195"/>
      <c r="N1125" s="195"/>
      <c r="O1125" s="195"/>
      <c r="P1125" s="195"/>
      <c r="Q1125" s="195"/>
      <c r="R1125" s="195"/>
      <c r="S1125" s="195"/>
      <c r="T1125" s="195"/>
      <c r="U1125" s="195"/>
      <c r="V1125" s="197"/>
      <c r="W1125" s="185"/>
      <c r="X1125" s="141" t="s">
        <v>2</v>
      </c>
      <c r="Z1125" s="187"/>
      <c r="AA1125" s="187"/>
    </row>
    <row r="1126" spans="1:27" s="186" customFormat="1" ht="15" customHeight="1">
      <c r="A1126" s="214"/>
      <c r="B1126" s="210"/>
      <c r="C1126" s="298"/>
      <c r="D1126" s="195"/>
      <c r="E1126" s="195"/>
      <c r="F1126" s="195"/>
      <c r="G1126" s="195"/>
      <c r="H1126" s="195"/>
      <c r="I1126" s="195"/>
      <c r="J1126" s="196"/>
      <c r="K1126" s="196"/>
      <c r="L1126" s="144"/>
      <c r="M1126" s="195"/>
      <c r="N1126" s="195"/>
      <c r="O1126" s="195"/>
      <c r="P1126" s="195"/>
      <c r="Q1126" s="195"/>
      <c r="R1126" s="195"/>
      <c r="S1126" s="195"/>
      <c r="T1126" s="195"/>
      <c r="U1126" s="195"/>
      <c r="V1126" s="197"/>
      <c r="W1126" s="185"/>
      <c r="X1126" s="141"/>
      <c r="Z1126" s="187"/>
      <c r="AA1126" s="187"/>
    </row>
    <row r="1127" spans="1:27" s="186" customFormat="1" ht="15" customHeight="1" thickBot="1">
      <c r="A1127" s="214"/>
      <c r="B1127" s="509"/>
      <c r="C1127" s="510"/>
      <c r="D1127" s="497"/>
      <c r="E1127" s="498"/>
      <c r="F1127" s="498"/>
      <c r="G1127" s="498"/>
      <c r="H1127" s="498"/>
      <c r="I1127" s="499"/>
      <c r="J1127" s="499"/>
      <c r="K1127" s="499"/>
      <c r="L1127" s="512"/>
      <c r="M1127" s="512"/>
      <c r="N1127" s="512"/>
      <c r="O1127" s="512"/>
      <c r="P1127" s="512"/>
      <c r="Q1127" s="512"/>
      <c r="R1127" s="512"/>
      <c r="S1127" s="512"/>
      <c r="T1127" s="512"/>
      <c r="U1127" s="512"/>
      <c r="V1127" s="512"/>
      <c r="W1127" s="512"/>
      <c r="X1127" s="513"/>
      <c r="Z1127" s="187"/>
      <c r="AA1127" s="187"/>
    </row>
    <row r="1128" spans="1:27" ht="15" customHeight="1" thickBot="1">
      <c r="A1128" s="215"/>
      <c r="B1128" s="272" t="str">
        <f>IF(X1129="","TIJOLO COMPOSIÇÃO PERÍMETRO (1 PEÇA)",X1129)</f>
        <v>TIJOLO COMPOSIÇÃO PERÍMETRO (1 PEÇA)</v>
      </c>
      <c r="C1128" s="273" t="s">
        <v>101</v>
      </c>
      <c r="D1128" s="274" t="s">
        <v>102</v>
      </c>
      <c r="E1128" s="274" t="s">
        <v>42</v>
      </c>
      <c r="F1128" s="274" t="s">
        <v>42</v>
      </c>
      <c r="G1128" s="274" t="s">
        <v>43</v>
      </c>
      <c r="H1128" s="274" t="s">
        <v>44</v>
      </c>
      <c r="I1128" s="274" t="s">
        <v>47</v>
      </c>
      <c r="J1128" s="274" t="s">
        <v>103</v>
      </c>
      <c r="K1128" s="274" t="s">
        <v>37</v>
      </c>
      <c r="L1128" s="274" t="s">
        <v>39</v>
      </c>
      <c r="M1128" s="274" t="s">
        <v>45</v>
      </c>
      <c r="N1128" s="274" t="s">
        <v>46</v>
      </c>
      <c r="O1128" s="274" t="s">
        <v>672</v>
      </c>
      <c r="P1128" s="274" t="s">
        <v>51</v>
      </c>
      <c r="Q1128" s="274" t="s">
        <v>52</v>
      </c>
      <c r="R1128" s="274"/>
      <c r="S1128" s="274"/>
      <c r="T1128" s="274" t="s">
        <v>673</v>
      </c>
      <c r="U1128" s="274" t="s">
        <v>677</v>
      </c>
      <c r="V1128" s="275" t="s">
        <v>27</v>
      </c>
      <c r="W1128" s="276"/>
      <c r="X1128" s="277"/>
    </row>
    <row r="1129" spans="1:27" ht="15" customHeight="1" thickBot="1">
      <c r="A1129" s="244"/>
      <c r="B1129" s="246" t="s">
        <v>674</v>
      </c>
      <c r="C1129" s="245">
        <f>SUMIF(Densidades!A:A,'Memória TOTAL'!X1129,Densidades!B:B)</f>
        <v>0</v>
      </c>
      <c r="D1129" s="134">
        <f>SUMIF(Densidades!A:A,'Memória TOTAL'!X1129,Densidades!C:C)</f>
        <v>0</v>
      </c>
      <c r="E1129" s="970">
        <f>SUMIF(Formatos!A:A,'Memória TOTAL'!X1130,Formatos!E:E)</f>
        <v>64</v>
      </c>
      <c r="F1129" s="970">
        <f>SUMIF(Formatos!A:A,'Memória TOTAL'!X1130,Formatos!F:F)</f>
        <v>64</v>
      </c>
      <c r="G1129" s="970">
        <f>SUMIF(Formatos!A:A,'Memória TOTAL'!X1130,Formatos!C:C)</f>
        <v>230</v>
      </c>
      <c r="H1129" s="970">
        <f>SUMIF(Formatos!A:A,'Memória TOTAL'!X1130,Formatos!D:D)</f>
        <v>114</v>
      </c>
      <c r="I1129" s="135">
        <f>SUMIF(Densidades!A:A,'Memória TOTAL'!X1129,Densidades!H:H)</f>
        <v>0</v>
      </c>
      <c r="J1129" s="136">
        <f>SUMIF(Formatos!A:A,'Memória TOTAL'!X1130,Formatos!G:G)</f>
        <v>1.67808</v>
      </c>
      <c r="K1129" s="137">
        <f>SUMIF(Densidades!A:A,'Memória TOTAL'!X1129,Densidades!I:I)</f>
        <v>0</v>
      </c>
      <c r="L1129" s="253">
        <v>0</v>
      </c>
      <c r="M1129" s="608"/>
      <c r="N1129" s="256"/>
      <c r="O1129" s="257"/>
      <c r="P1129" s="255">
        <f>O1129*2</f>
        <v>0</v>
      </c>
      <c r="Q1129" s="139">
        <f>P1129-(2*M1129)</f>
        <v>0</v>
      </c>
      <c r="R1129" s="139"/>
      <c r="S1129" s="260"/>
      <c r="T1129" s="261">
        <f>IF(AND(B1131=0,B1133=0),,IF(AND(B1133=0,B1131&lt;&gt;0),1,IF(OR(B1133-B1131&gt;=0,B1133=0),(B1133-B1131)+1,"ERRO")))</f>
        <v>0</v>
      </c>
      <c r="U1129" s="257"/>
      <c r="V1129" s="256" t="str">
        <f>IF(M1129="","",IF(M1129=H1133,ROUND(P1139,0),"ESP. ERRADA"))</f>
        <v/>
      </c>
      <c r="W1129" s="262" t="str">
        <f>IFERROR(IF(C1129=0,"",ROUNDUP(SUM(V1129)*(1+L1129),0))*T1129*U1129,"")</f>
        <v/>
      </c>
      <c r="X1129" s="263"/>
    </row>
    <row r="1130" spans="1:27" s="186" customFormat="1" ht="15" customHeight="1" thickBot="1">
      <c r="A1130" s="264"/>
      <c r="B1130" s="249" t="s">
        <v>112</v>
      </c>
      <c r="C1130" s="236"/>
      <c r="D1130" s="195"/>
      <c r="E1130" s="195"/>
      <c r="F1130" s="195"/>
      <c r="G1130" s="195"/>
      <c r="H1130" s="195"/>
      <c r="I1130" s="195"/>
      <c r="J1130" s="196"/>
      <c r="K1130" s="196"/>
      <c r="L1130" s="144"/>
      <c r="M1130" s="195"/>
      <c r="N1130" s="195"/>
      <c r="O1130" s="195"/>
      <c r="P1130" s="195"/>
      <c r="Q1130" s="195"/>
      <c r="R1130" s="195"/>
      <c r="S1130" s="195"/>
      <c r="T1130" s="195"/>
      <c r="U1130" s="195"/>
      <c r="V1130" s="197"/>
      <c r="W1130" s="185"/>
      <c r="X1130" s="141">
        <f>IF(B1135="","",B1135)</f>
        <v>1</v>
      </c>
      <c r="Z1130" s="187"/>
      <c r="AA1130" s="187"/>
    </row>
    <row r="1131" spans="1:27" s="186" customFormat="1" ht="15" customHeight="1" thickBot="1">
      <c r="A1131" s="264"/>
      <c r="B1131" s="265"/>
      <c r="C1131" s="236"/>
      <c r="D1131" s="195"/>
      <c r="E1131" s="195"/>
      <c r="F1131" s="195"/>
      <c r="G1131" s="195"/>
      <c r="H1131" s="195"/>
      <c r="I1131" s="195"/>
      <c r="J1131" s="196"/>
      <c r="K1131" s="196"/>
      <c r="L1131" s="144"/>
      <c r="M1131" s="195"/>
      <c r="N1131" s="195"/>
      <c r="O1131" s="195"/>
      <c r="P1131" s="195"/>
      <c r="Q1131" s="195"/>
      <c r="R1131" s="195"/>
      <c r="S1131" s="195"/>
      <c r="T1131" s="195"/>
      <c r="U1131" s="195"/>
      <c r="V1131" s="197"/>
      <c r="W1131" s="185"/>
      <c r="X1131" s="141" t="s">
        <v>524</v>
      </c>
      <c r="Z1131" s="187"/>
      <c r="AA1131" s="187"/>
    </row>
    <row r="1132" spans="1:27" s="186" customFormat="1" ht="15" customHeight="1" thickBot="1">
      <c r="A1132" s="264"/>
      <c r="B1132" s="249" t="s">
        <v>22</v>
      </c>
      <c r="C1132" s="299" t="str">
        <f t="shared" ref="C1132:L1132" si="159">C1128</f>
        <v>Dens.</v>
      </c>
      <c r="D1132" s="182" t="str">
        <f t="shared" si="159"/>
        <v>Emb.</v>
      </c>
      <c r="E1132" s="182" t="str">
        <f t="shared" si="159"/>
        <v>Esp. Tij.</v>
      </c>
      <c r="F1132" s="182" t="str">
        <f t="shared" si="159"/>
        <v>Esp. Tij.</v>
      </c>
      <c r="G1132" s="182" t="str">
        <f t="shared" si="159"/>
        <v>Comp. Tij.</v>
      </c>
      <c r="H1132" s="182" t="str">
        <f t="shared" si="159"/>
        <v>Larg. Tij.</v>
      </c>
      <c r="I1132" s="182" t="str">
        <f t="shared" si="159"/>
        <v>Tipo Fator</v>
      </c>
      <c r="J1132" s="182" t="str">
        <f t="shared" si="159"/>
        <v>Vol.</v>
      </c>
      <c r="K1132" s="182" t="str">
        <f t="shared" si="159"/>
        <v>Class.</v>
      </c>
      <c r="L1132" s="182" t="str">
        <f t="shared" si="159"/>
        <v>Coefic. (%)</v>
      </c>
      <c r="M1132" s="195"/>
      <c r="N1132" s="195"/>
      <c r="O1132" s="195"/>
      <c r="P1132" s="195"/>
      <c r="Q1132" s="195"/>
      <c r="R1132" s="195"/>
      <c r="S1132" s="195"/>
      <c r="T1132" s="195"/>
      <c r="U1132" s="195"/>
      <c r="V1132" s="197"/>
      <c r="W1132" s="185"/>
      <c r="X1132" s="141"/>
      <c r="Z1132" s="187"/>
      <c r="AA1132" s="187"/>
    </row>
    <row r="1133" spans="1:27" s="186" customFormat="1" ht="15" customHeight="1" thickBot="1">
      <c r="A1133" s="264"/>
      <c r="B1133" s="265"/>
      <c r="C1133" s="245">
        <f>SUMIF(Densidades!A:A,'Memória TOTAL'!X1133,Densidades!B:B)</f>
        <v>0</v>
      </c>
      <c r="D1133" s="134">
        <f>SUMIF(Densidades!A:A,'Memória TOTAL'!X1133,Densidades!C:C)</f>
        <v>0</v>
      </c>
      <c r="E1133" s="135">
        <f>IF(M1129=E1129,H1129,E1129)</f>
        <v>64</v>
      </c>
      <c r="F1133" s="135">
        <f>IF(M1129=E1129,H1129,F1129)</f>
        <v>64</v>
      </c>
      <c r="G1133" s="135">
        <f>IF(M1129=G1129,H1129,G1129)</f>
        <v>230</v>
      </c>
      <c r="H1133" s="135">
        <f>IF(M1129=E1129,E1129,IF(M1129=G1129,G1129,H1129))</f>
        <v>114</v>
      </c>
      <c r="I1133" s="135">
        <f>SUMIF(Densidades!A:A,'Memória TOTAL'!X1133,Densidades!H:H)</f>
        <v>0</v>
      </c>
      <c r="J1133" s="136">
        <f>SUMIF(Formatos!A:A,'Memória TOTAL'!X1134,Formatos!G:G)</f>
        <v>0</v>
      </c>
      <c r="K1133" s="222">
        <f>SUMIF(Densidades!A:A,'Memória TOTAL'!X1133,Densidades!I:I)</f>
        <v>0</v>
      </c>
      <c r="L1133" s="223">
        <v>0</v>
      </c>
      <c r="M1133" s="195"/>
      <c r="N1133" s="195"/>
      <c r="O1133" s="195"/>
      <c r="P1133" s="195"/>
      <c r="Q1133" s="195"/>
      <c r="R1133" s="195"/>
      <c r="S1133" s="195"/>
      <c r="T1133" s="232"/>
      <c r="U1133" s="235"/>
      <c r="V1133" s="197"/>
      <c r="W1133" s="185"/>
      <c r="X1133" s="141"/>
      <c r="Z1133" s="187"/>
      <c r="AA1133" s="187"/>
    </row>
    <row r="1134" spans="1:27" s="186" customFormat="1" ht="15" customHeight="1" thickBot="1">
      <c r="A1134" s="264"/>
      <c r="B1134" s="247" t="s">
        <v>675</v>
      </c>
      <c r="C1134" s="236"/>
      <c r="D1134" s="195"/>
      <c r="E1134" s="195"/>
      <c r="F1134" s="195"/>
      <c r="G1134" s="195"/>
      <c r="H1134" s="195"/>
      <c r="I1134" s="195"/>
      <c r="J1134" s="196"/>
      <c r="K1134" s="196"/>
      <c r="L1134" s="144"/>
      <c r="M1134" s="195"/>
      <c r="N1134" s="195"/>
      <c r="O1134" s="195"/>
      <c r="P1134" s="195"/>
      <c r="Q1134" s="195"/>
      <c r="R1134" s="195"/>
      <c r="S1134" s="195"/>
      <c r="T1134" s="195"/>
      <c r="U1134" s="195"/>
      <c r="V1134" s="197"/>
      <c r="W1134" s="185"/>
      <c r="X1134" s="141"/>
      <c r="Z1134" s="187"/>
      <c r="AA1134" s="187"/>
    </row>
    <row r="1135" spans="1:27" s="186" customFormat="1" ht="15" customHeight="1" thickBot="1">
      <c r="A1135" s="264"/>
      <c r="B1135" s="263">
        <v>1</v>
      </c>
      <c r="C1135" s="243" t="s">
        <v>54</v>
      </c>
      <c r="D1135" s="239"/>
      <c r="E1135" s="195"/>
      <c r="F1135" s="238"/>
      <c r="G1135" s="238"/>
      <c r="H1135" s="148" t="s">
        <v>54</v>
      </c>
      <c r="I1135" s="148"/>
      <c r="J1135" s="196"/>
      <c r="K1135" s="196"/>
      <c r="L1135" s="144"/>
      <c r="M1135" s="195"/>
      <c r="N1135" s="195" t="s">
        <v>22</v>
      </c>
      <c r="O1135" s="149" t="s">
        <v>48</v>
      </c>
      <c r="P1135" s="149"/>
      <c r="Q1135" s="150"/>
      <c r="R1135" s="149" t="s">
        <v>54</v>
      </c>
      <c r="S1135" s="149"/>
      <c r="T1135" s="195"/>
      <c r="U1135" s="195"/>
      <c r="V1135" s="197"/>
      <c r="W1135" s="185"/>
      <c r="X1135" s="141"/>
      <c r="Z1135" s="187"/>
      <c r="AA1135" s="187"/>
    </row>
    <row r="1136" spans="1:27" s="186" customFormat="1" ht="15" customHeight="1" thickBot="1">
      <c r="A1136" s="264"/>
      <c r="B1136" s="210"/>
      <c r="C1136" s="243"/>
      <c r="D1136" s="239"/>
      <c r="E1136" s="195"/>
      <c r="F1136" s="195"/>
      <c r="G1136" s="195"/>
      <c r="H1136" s="240">
        <f>P1129*PI()/(E1133+N1129)</f>
        <v>0</v>
      </c>
      <c r="I1136" s="240"/>
      <c r="J1136" s="196"/>
      <c r="K1136" s="196"/>
      <c r="L1136" s="144"/>
      <c r="M1136" s="735" t="s">
        <v>108</v>
      </c>
      <c r="N1136" s="195">
        <f>E1133</f>
        <v>64</v>
      </c>
      <c r="O1136" s="151">
        <f>F1133</f>
        <v>64</v>
      </c>
      <c r="P1136" s="151"/>
      <c r="Q1136" s="157"/>
      <c r="R1136" s="151">
        <f>IF(ROUND(H1136+0.4,0)&gt;=0,ROUND(H1136+0.4,0),"ERRO")</f>
        <v>0</v>
      </c>
      <c r="S1136" s="151"/>
      <c r="T1136" s="195"/>
      <c r="U1136" s="195"/>
      <c r="V1136" s="197"/>
      <c r="W1136" s="231"/>
      <c r="X1136" s="141"/>
      <c r="Z1136" s="187"/>
      <c r="AA1136" s="187"/>
    </row>
    <row r="1137" spans="1:27" s="155" customFormat="1" ht="15" customHeight="1" thickBot="1">
      <c r="A1137" s="248"/>
      <c r="B1137" s="247" t="s">
        <v>676</v>
      </c>
      <c r="C1137" s="236"/>
      <c r="D1137" s="195"/>
      <c r="E1137" s="195"/>
      <c r="F1137" s="195"/>
      <c r="G1137" s="195"/>
      <c r="H1137" s="240"/>
      <c r="I1137" s="195"/>
      <c r="J1137" s="196"/>
      <c r="K1137" s="196"/>
      <c r="L1137" s="195"/>
      <c r="M1137" s="195"/>
      <c r="N1137" s="195"/>
      <c r="O1137" s="195"/>
      <c r="P1137" s="195"/>
      <c r="Q1137" s="195"/>
      <c r="R1137" s="195"/>
      <c r="S1137" s="195"/>
      <c r="T1137" s="781" t="s">
        <v>2188</v>
      </c>
      <c r="U1137" s="782"/>
      <c r="V1137" s="152"/>
      <c r="W1137" s="153"/>
      <c r="X1137" s="154"/>
      <c r="Z1137" s="156"/>
      <c r="AA1137" s="156"/>
    </row>
    <row r="1138" spans="1:27" s="155" customFormat="1" ht="15" customHeight="1" thickBot="1">
      <c r="A1138" s="248"/>
      <c r="B1138" s="250"/>
      <c r="C1138" s="236"/>
      <c r="D1138" s="195"/>
      <c r="E1138" s="195"/>
      <c r="F1138" s="195"/>
      <c r="G1138" s="195"/>
      <c r="H1138" s="240"/>
      <c r="I1138" s="195"/>
      <c r="J1138" s="196"/>
      <c r="K1138" s="196"/>
      <c r="L1138" s="195"/>
      <c r="M1138" s="195"/>
      <c r="N1138" s="195"/>
      <c r="O1138" s="241" t="s">
        <v>53</v>
      </c>
      <c r="P1138" s="195" t="s">
        <v>54</v>
      </c>
      <c r="Q1138" s="195"/>
      <c r="R1138" s="195"/>
      <c r="S1138" s="195"/>
      <c r="T1138" s="297" t="s">
        <v>989</v>
      </c>
      <c r="U1138" s="195" t="s">
        <v>988</v>
      </c>
      <c r="V1138" s="152"/>
      <c r="W1138" s="153"/>
      <c r="X1138" s="154"/>
      <c r="Z1138" s="156"/>
      <c r="AA1138" s="156"/>
    </row>
    <row r="1139" spans="1:27" s="155" customFormat="1" ht="15" customHeight="1" thickBot="1">
      <c r="A1139" s="248"/>
      <c r="B1139" s="251" t="str">
        <f>IF(AND(B1133&lt;&gt;B1131,B1133&lt;&gt;0),"FIADAS "&amp;B1131&amp;" a "&amp;B1133,"FIADA "&amp;B1131)</f>
        <v xml:space="preserve">FIADA </v>
      </c>
      <c r="C1139" s="268"/>
      <c r="D1139" s="201"/>
      <c r="E1139" s="201"/>
      <c r="F1139" s="201"/>
      <c r="G1139" s="201"/>
      <c r="H1139" s="201"/>
      <c r="I1139" s="201"/>
      <c r="J1139" s="234"/>
      <c r="K1139" s="234"/>
      <c r="L1139" s="162"/>
      <c r="M1139" s="201"/>
      <c r="N1139" s="164"/>
      <c r="O1139" s="259">
        <v>360</v>
      </c>
      <c r="P1139" s="258">
        <f>ROUND(R1136/360*O1139,2)</f>
        <v>0</v>
      </c>
      <c r="Q1139" s="252"/>
      <c r="R1139" s="163"/>
      <c r="S1139" s="163"/>
      <c r="T1139" s="327">
        <f>((E1133+N1129)*H1136)-P1129*PI()</f>
        <v>0</v>
      </c>
      <c r="U1139" s="327" t="e">
        <f>(((F1133+N1129)*H1136)-Q1129*PI())/H1136</f>
        <v>#DIV/0!</v>
      </c>
      <c r="V1139" s="164"/>
      <c r="W1139" s="165"/>
      <c r="X1139" s="166"/>
      <c r="Z1139" s="156"/>
      <c r="AA1139" s="156"/>
    </row>
    <row r="1140" spans="1:27" s="186" customFormat="1" ht="15" customHeight="1">
      <c r="A1140" s="215"/>
      <c r="B1140" s="210"/>
      <c r="C1140" s="298"/>
      <c r="D1140" s="195"/>
      <c r="E1140" s="135"/>
      <c r="F1140" s="135"/>
      <c r="G1140" s="135"/>
      <c r="H1140" s="135"/>
      <c r="I1140" s="232"/>
      <c r="J1140" s="232"/>
      <c r="K1140" s="232"/>
      <c r="L1140" s="195"/>
      <c r="M1140" s="195"/>
      <c r="N1140" s="195"/>
      <c r="O1140" s="144"/>
      <c r="P1140" s="195"/>
      <c r="Q1140" s="195"/>
      <c r="R1140" s="195"/>
      <c r="S1140" s="195"/>
      <c r="T1140" s="195"/>
      <c r="U1140" s="195"/>
      <c r="V1140" s="197"/>
      <c r="W1140" s="185"/>
      <c r="X1140" s="141"/>
      <c r="Z1140" s="187"/>
      <c r="AA1140" s="187"/>
    </row>
    <row r="1141" spans="1:27" s="186" customFormat="1" ht="15" customHeight="1">
      <c r="A1141" s="215"/>
      <c r="B1141" s="210"/>
      <c r="C1141" s="298"/>
      <c r="D1141" s="195"/>
      <c r="E1141" s="135"/>
      <c r="F1141" s="135"/>
      <c r="G1141" s="135"/>
      <c r="H1141" s="135"/>
      <c r="I1141" s="232"/>
      <c r="J1141" s="232"/>
      <c r="K1141" s="232"/>
      <c r="L1141" s="195"/>
      <c r="M1141" s="195"/>
      <c r="N1141" s="195"/>
      <c r="O1141" s="144"/>
      <c r="P1141" s="195"/>
      <c r="Q1141" s="195"/>
      <c r="R1141" s="195"/>
      <c r="S1141" s="195"/>
      <c r="T1141" s="195"/>
      <c r="U1141" s="195"/>
      <c r="V1141" s="197"/>
      <c r="W1141" s="185"/>
      <c r="X1141" s="141"/>
      <c r="Z1141" s="187"/>
      <c r="AA1141" s="187"/>
    </row>
    <row r="1142" spans="1:27" s="186" customFormat="1" ht="15" customHeight="1" thickBot="1">
      <c r="A1142" s="215"/>
      <c r="B1142" s="279" t="s">
        <v>1010</v>
      </c>
      <c r="C1142" s="280"/>
      <c r="D1142" s="281"/>
      <c r="E1142" s="281"/>
      <c r="F1142" s="281"/>
      <c r="G1142" s="281"/>
      <c r="H1142" s="281"/>
      <c r="I1142" s="281"/>
      <c r="J1142" s="282"/>
      <c r="K1142" s="282"/>
      <c r="L1142" s="283"/>
      <c r="M1142" s="281"/>
      <c r="N1142" s="281"/>
      <c r="O1142" s="281"/>
      <c r="P1142" s="281"/>
      <c r="Q1142" s="281"/>
      <c r="R1142" s="281"/>
      <c r="S1142" s="284"/>
      <c r="T1142" s="281"/>
      <c r="U1142" s="281" t="s">
        <v>678</v>
      </c>
      <c r="V1142" s="285" t="s">
        <v>27</v>
      </c>
      <c r="W1142" s="286"/>
      <c r="X1142" s="287"/>
      <c r="Z1142" s="187"/>
      <c r="AA1142" s="187"/>
    </row>
    <row r="1143" spans="1:27" s="186" customFormat="1" ht="15" customHeight="1" thickBot="1">
      <c r="A1143" s="215"/>
      <c r="B1143" s="210"/>
      <c r="C1143" s="133">
        <f>SUMIF(Densidades!A:A,'Memória TOTAL'!X1143,Densidades!B:B)</f>
        <v>0</v>
      </c>
      <c r="D1143" s="134">
        <f>SUMIF(Densidades!A:A,'Memória TOTAL'!X1143,Densidades!C:C)</f>
        <v>0</v>
      </c>
      <c r="E1143" s="134" t="str">
        <f>IF(I1143=15,"FIRECLAY MORTAR",IF(I1143=16,"ALUMINA MORTAR",IF(I1143=17,"BASIC MORTAR",IF(I1143=18,"MORTAR","-"))))</f>
        <v>-</v>
      </c>
      <c r="F1143" s="134" t="str">
        <f>IF(I1143=15,"FIRECLAY MORTAR",IF(I1143=16,"ALUMINA MORTAR",IF(I1143=17,"BASIC MORTAR",IF(I1143=18,"MORTAR","-"))))</f>
        <v>-</v>
      </c>
      <c r="G1143" s="134" t="str">
        <f>IF(I1143=15,"FIRECLAY MORTAR",IF(I1143=16,"ALUMINA MORTAR",IF(I1143=17,"BASIC MORTAR",IF(I1143=18,"MORTAR","-"))))</f>
        <v>-</v>
      </c>
      <c r="H1143" s="134" t="str">
        <f>IF(I1143=15,"FIRECLAY MORTAR",IF(I1143=16,"ALUMINA MORTAR",IF(I1143=17,"BASIC MORTAR",IF(I1143=18,"MORTAR","-"))))</f>
        <v>-</v>
      </c>
      <c r="I1143" s="134">
        <f>SUMIF(Densidades!A:A,'Memória TOTAL'!X1143,Densidades!G:G)</f>
        <v>0</v>
      </c>
      <c r="J1143" s="136">
        <f>SUMIF(Formatos!A:A,'Memória TOTAL'!X1144,Formatos!G:G)</f>
        <v>0</v>
      </c>
      <c r="K1143" s="137">
        <f>SUMIF(Densidades!A:A,'Memória TOTAL'!X1143,Densidades!I:I)</f>
        <v>0</v>
      </c>
      <c r="L1143" s="188">
        <v>0</v>
      </c>
      <c r="M1143" s="189"/>
      <c r="N1143" s="189"/>
      <c r="O1143" s="189"/>
      <c r="P1143" s="189"/>
      <c r="Q1143" s="189"/>
      <c r="R1143" s="189"/>
      <c r="S1143" s="189"/>
      <c r="T1143" s="190"/>
      <c r="U1143" s="290">
        <v>0.06</v>
      </c>
      <c r="V1143" s="192" t="e">
        <f>(W1129*J1129*C1143+W1133*J1133*C1143)*U1143</f>
        <v>#VALUE!</v>
      </c>
      <c r="W1143" s="193" t="str">
        <f>IF(C1143=0,"",ROUNDUP(SUM(V1143:V1144)*(1+L1143)/D1143,2)*D1143)</f>
        <v/>
      </c>
      <c r="X1143" s="263"/>
      <c r="Z1143" s="187"/>
      <c r="AA1143" s="187"/>
    </row>
    <row r="1144" spans="1:27" s="186" customFormat="1" ht="15" customHeight="1">
      <c r="A1144" s="215"/>
      <c r="B1144" s="210"/>
      <c r="C1144" s="133"/>
      <c r="D1144" s="195"/>
      <c r="E1144" s="195"/>
      <c r="F1144" s="195"/>
      <c r="G1144" s="195"/>
      <c r="H1144" s="195"/>
      <c r="I1144" s="195"/>
      <c r="J1144" s="196"/>
      <c r="K1144" s="196"/>
      <c r="L1144" s="144"/>
      <c r="M1144" s="195"/>
      <c r="N1144" s="195"/>
      <c r="O1144" s="195"/>
      <c r="P1144" s="195"/>
      <c r="Q1144" s="195"/>
      <c r="R1144" s="195"/>
      <c r="S1144" s="195"/>
      <c r="T1144" s="195"/>
      <c r="U1144" s="195"/>
      <c r="V1144" s="197"/>
      <c r="W1144" s="185"/>
      <c r="X1144" s="141" t="str">
        <f>IF(AND(H1143="-",G1143="-",F1143="-"),E1143,IF(AND(H1143="-",G1143="-",E1143="-"),F1143,IF(AND(H1143="-",F1143="-",E1143="-"),G1143,H1143)))</f>
        <v>-</v>
      </c>
      <c r="Z1144" s="187"/>
      <c r="AA1144" s="187"/>
    </row>
    <row r="1145" spans="1:27" s="186" customFormat="1" ht="15" customHeight="1">
      <c r="A1145" s="215"/>
      <c r="B1145" s="213"/>
      <c r="C1145" s="133"/>
      <c r="D1145" s="195"/>
      <c r="E1145" s="195"/>
      <c r="F1145" s="195"/>
      <c r="G1145" s="195"/>
      <c r="H1145" s="195"/>
      <c r="I1145" s="195"/>
      <c r="J1145" s="196"/>
      <c r="K1145" s="196"/>
      <c r="L1145" s="144"/>
      <c r="M1145" s="195"/>
      <c r="N1145" s="195"/>
      <c r="O1145" s="195"/>
      <c r="P1145" s="195"/>
      <c r="Q1145" s="195"/>
      <c r="R1145" s="195"/>
      <c r="S1145" s="195"/>
      <c r="T1145" s="195"/>
      <c r="U1145" s="195"/>
      <c r="V1145" s="197"/>
      <c r="W1145" s="185"/>
      <c r="X1145" s="141" t="s">
        <v>2</v>
      </c>
      <c r="Z1145" s="187"/>
      <c r="AA1145" s="187"/>
    </row>
    <row r="1146" spans="1:27" ht="15" customHeight="1">
      <c r="A1146" s="215"/>
      <c r="B1146" s="131"/>
      <c r="C1146" s="169"/>
      <c r="D1146" s="170"/>
      <c r="E1146" s="170"/>
      <c r="F1146" s="170"/>
      <c r="G1146" s="170"/>
      <c r="H1146" s="170"/>
      <c r="I1146" s="170"/>
      <c r="J1146" s="171"/>
      <c r="K1146" s="171"/>
      <c r="L1146" s="172"/>
      <c r="M1146" s="170"/>
      <c r="N1146" s="170"/>
      <c r="O1146" s="170"/>
      <c r="P1146" s="170"/>
      <c r="Q1146" s="170"/>
      <c r="R1146" s="170"/>
      <c r="S1146" s="170"/>
      <c r="T1146" s="170"/>
      <c r="U1146" s="170"/>
      <c r="V1146" s="173"/>
      <c r="W1146" s="174"/>
      <c r="X1146" s="175"/>
    </row>
    <row r="1147" spans="1:27" s="186" customFormat="1" ht="15" customHeight="1" thickBot="1">
      <c r="A1147" s="215"/>
      <c r="B1147" s="279" t="s">
        <v>1011</v>
      </c>
      <c r="C1147" s="280"/>
      <c r="D1147" s="281"/>
      <c r="E1147" s="281"/>
      <c r="F1147" s="281"/>
      <c r="G1147" s="281"/>
      <c r="H1147" s="281"/>
      <c r="I1147" s="281"/>
      <c r="J1147" s="282"/>
      <c r="K1147" s="282"/>
      <c r="L1147" s="283"/>
      <c r="M1147" s="281"/>
      <c r="N1147" s="281"/>
      <c r="O1147" s="281"/>
      <c r="P1147" s="281"/>
      <c r="Q1147" s="281"/>
      <c r="R1147" s="281" t="s">
        <v>636</v>
      </c>
      <c r="S1147" s="284" t="s">
        <v>637</v>
      </c>
      <c r="T1147" s="281" t="s">
        <v>638</v>
      </c>
      <c r="U1147" s="281" t="s">
        <v>38</v>
      </c>
      <c r="V1147" s="285" t="s">
        <v>27</v>
      </c>
      <c r="W1147" s="286"/>
      <c r="X1147" s="287"/>
      <c r="Z1147" s="187"/>
      <c r="AA1147" s="187"/>
    </row>
    <row r="1148" spans="1:27" s="186" customFormat="1" ht="15" customHeight="1" thickBot="1">
      <c r="A1148" s="215"/>
      <c r="B1148" s="210"/>
      <c r="C1148" s="133">
        <f>SUMIF(Densidades!A:A,'Memória TOTAL'!X1148,Densidades!B:B)</f>
        <v>0</v>
      </c>
      <c r="D1148" s="134">
        <f>SUMIF(Densidades!A:A,'Memória TOTAL'!X1148,Densidades!C:C)</f>
        <v>0</v>
      </c>
      <c r="E1148" s="134" t="str">
        <f>IF(I1148=15,"FIRECLAY MORTAR",IF(I1148=16,"ALUMINA MORTAR",IF(I1148=17,"BASIC MORTAR",IF(I1148=18,"MORTAR","-"))))</f>
        <v>-</v>
      </c>
      <c r="F1148" s="134" t="str">
        <f>IF(I1148=15,"FIRECLAY MORTAR",IF(I1148=16,"ALUMINA MORTAR",IF(I1148=17,"BASIC MORTAR",IF(I1148=18,"MORTAR","-"))))</f>
        <v>-</v>
      </c>
      <c r="G1148" s="134" t="str">
        <f>IF(I1148=15,"FIRECLAY MORTAR",IF(I1148=16,"ALUMINA MORTAR",IF(I1148=17,"BASIC MORTAR",IF(I1148=18,"MORTAR","-"))))</f>
        <v>-</v>
      </c>
      <c r="H1148" s="134" t="str">
        <f>IF(I1148=15,"FIRECLAY MORTAR",IF(I1148=16,"ALUMINA MORTAR",IF(I1148=17,"BASIC MORTAR",IF(I1148=18,"MORTAR","-"))))</f>
        <v>-</v>
      </c>
      <c r="I1148" s="134">
        <f>SUMIF(Densidades!A:A,'Memória TOTAL'!X1148,Densidades!G:G)</f>
        <v>0</v>
      </c>
      <c r="J1148" s="136">
        <f>SUMIF(Formatos!A:A,'Memória TOTAL'!X1149,Formatos!G:G)</f>
        <v>0</v>
      </c>
      <c r="K1148" s="222">
        <f>SUMIF(Densidades!A:A,'Memória TOTAL'!X1148,Densidades!I:I)</f>
        <v>0</v>
      </c>
      <c r="L1148" s="188">
        <v>0</v>
      </c>
      <c r="M1148" s="189"/>
      <c r="N1148" s="189"/>
      <c r="O1148" s="189"/>
      <c r="P1148" s="189"/>
      <c r="Q1148" s="189"/>
      <c r="R1148" s="190">
        <f>((G1129*H1129)+(G1129*E1129)+(H1129*E1129))/1000000</f>
        <v>4.8236000000000001E-2</v>
      </c>
      <c r="S1148" s="259">
        <v>2</v>
      </c>
      <c r="T1148" s="190">
        <f>R1148*S1148</f>
        <v>9.6472000000000002E-2</v>
      </c>
      <c r="U1148" s="191">
        <f>SUM(W1129:W1134)</f>
        <v>0</v>
      </c>
      <c r="V1148" s="192">
        <f>(T1148*C1148*(1+L1148))*U1148</f>
        <v>0</v>
      </c>
      <c r="W1148" s="140" t="str">
        <f>IF(C1148=0,"",ROUNDUP(SUM(V1148:V1149)*(1+L1148)/D1148,2)*D1148)</f>
        <v/>
      </c>
      <c r="X1148" s="263"/>
      <c r="Z1148" s="187"/>
      <c r="AA1148" s="187"/>
    </row>
    <row r="1149" spans="1:27" s="186" customFormat="1" ht="15" customHeight="1">
      <c r="A1149" s="215"/>
      <c r="B1149" s="210"/>
      <c r="C1149" s="133"/>
      <c r="D1149" s="195"/>
      <c r="E1149" s="195"/>
      <c r="F1149" s="195"/>
      <c r="G1149" s="195"/>
      <c r="H1149" s="195"/>
      <c r="I1149" s="195"/>
      <c r="J1149" s="196"/>
      <c r="K1149" s="196"/>
      <c r="L1149" s="144"/>
      <c r="M1149" s="195"/>
      <c r="N1149" s="195"/>
      <c r="O1149" s="195"/>
      <c r="P1149" s="195"/>
      <c r="Q1149" s="195"/>
      <c r="R1149" s="195"/>
      <c r="S1149" s="195"/>
      <c r="T1149" s="195"/>
      <c r="U1149" s="195"/>
      <c r="V1149" s="197"/>
      <c r="W1149" s="185"/>
      <c r="X1149" s="141" t="str">
        <f>IF(AND(H1148="-",G1148="-",F1148="-"),E1148,IF(AND(H1148="-",G1148="-",E1148="-"),F1148,IF(AND(H1148="-",F1148="-",E1148="-"),G1148,H1148)))</f>
        <v>-</v>
      </c>
      <c r="Z1149" s="187"/>
      <c r="AA1149" s="187"/>
    </row>
    <row r="1150" spans="1:27" s="186" customFormat="1" ht="15" customHeight="1">
      <c r="A1150" s="215"/>
      <c r="B1150" s="213"/>
      <c r="C1150" s="133"/>
      <c r="D1150" s="195"/>
      <c r="E1150" s="195"/>
      <c r="F1150" s="195"/>
      <c r="G1150" s="195"/>
      <c r="H1150" s="195"/>
      <c r="I1150" s="195"/>
      <c r="J1150" s="196"/>
      <c r="K1150" s="196"/>
      <c r="L1150" s="144"/>
      <c r="M1150" s="195"/>
      <c r="N1150" s="195"/>
      <c r="O1150" s="195"/>
      <c r="P1150" s="195"/>
      <c r="Q1150" s="195"/>
      <c r="R1150" s="195"/>
      <c r="S1150" s="195"/>
      <c r="T1150" s="195"/>
      <c r="U1150" s="195"/>
      <c r="V1150" s="197"/>
      <c r="W1150" s="185"/>
      <c r="X1150" s="141" t="s">
        <v>2</v>
      </c>
      <c r="Z1150" s="187"/>
      <c r="AA1150" s="187"/>
    </row>
    <row r="1151" spans="1:27" s="186" customFormat="1" ht="15" customHeight="1">
      <c r="A1151" s="215"/>
      <c r="B1151" s="213"/>
      <c r="C1151" s="133"/>
      <c r="D1151" s="195"/>
      <c r="E1151" s="195"/>
      <c r="F1151" s="195"/>
      <c r="G1151" s="195"/>
      <c r="H1151" s="195"/>
      <c r="I1151" s="195"/>
      <c r="J1151" s="196"/>
      <c r="K1151" s="196"/>
      <c r="L1151" s="144"/>
      <c r="M1151" s="195"/>
      <c r="N1151" s="195"/>
      <c r="O1151" s="195"/>
      <c r="P1151" s="195"/>
      <c r="Q1151" s="195"/>
      <c r="R1151" s="195"/>
      <c r="S1151" s="195"/>
      <c r="T1151" s="195"/>
      <c r="U1151" s="195"/>
      <c r="V1151" s="197"/>
      <c r="W1151" s="185"/>
      <c r="X1151" s="141"/>
      <c r="Z1151" s="187"/>
      <c r="AA1151" s="187"/>
    </row>
    <row r="1152" spans="1:27" s="186" customFormat="1" ht="15" customHeight="1" thickBot="1">
      <c r="A1152" s="215"/>
      <c r="B1152" s="509"/>
      <c r="C1152" s="509"/>
      <c r="D1152" s="512"/>
      <c r="E1152" s="512"/>
      <c r="F1152" s="512"/>
      <c r="G1152" s="512"/>
      <c r="H1152" s="512"/>
      <c r="I1152" s="512"/>
      <c r="J1152" s="512"/>
      <c r="K1152" s="512"/>
      <c r="L1152" s="512"/>
      <c r="M1152" s="512"/>
      <c r="N1152" s="512"/>
      <c r="O1152" s="512"/>
      <c r="P1152" s="512"/>
      <c r="Q1152" s="512"/>
      <c r="R1152" s="512"/>
      <c r="S1152" s="512"/>
      <c r="T1152" s="512"/>
      <c r="U1152" s="512"/>
      <c r="V1152" s="512"/>
      <c r="W1152" s="512"/>
      <c r="X1152" s="513"/>
      <c r="Z1152" s="187"/>
      <c r="AA1152" s="187"/>
    </row>
    <row r="1153" spans="1:27" ht="15" customHeight="1" thickBot="1">
      <c r="A1153" s="278"/>
      <c r="B1153" s="493" t="str">
        <f>IF(X1154="","COMPOSIÇÃO CONE 1 TIJOLO",X1154)</f>
        <v>COMPOSIÇÃO CONE 1 TIJOLO</v>
      </c>
      <c r="C1153" s="300" t="s">
        <v>101</v>
      </c>
      <c r="D1153" s="274" t="s">
        <v>102</v>
      </c>
      <c r="E1153" s="274" t="s">
        <v>42</v>
      </c>
      <c r="F1153" s="274" t="s">
        <v>42</v>
      </c>
      <c r="G1153" s="274" t="s">
        <v>43</v>
      </c>
      <c r="H1153" s="274" t="s">
        <v>44</v>
      </c>
      <c r="I1153" s="274" t="s">
        <v>47</v>
      </c>
      <c r="J1153" s="274" t="s">
        <v>103</v>
      </c>
      <c r="K1153" s="274" t="s">
        <v>37</v>
      </c>
      <c r="L1153" s="274" t="s">
        <v>39</v>
      </c>
      <c r="M1153" s="274" t="s">
        <v>45</v>
      </c>
      <c r="N1153" s="274" t="s">
        <v>46</v>
      </c>
      <c r="O1153" s="296" t="s">
        <v>106</v>
      </c>
      <c r="P1153" s="274" t="s">
        <v>52</v>
      </c>
      <c r="Q1153" s="296" t="s">
        <v>53</v>
      </c>
      <c r="R1153" s="274"/>
      <c r="S1153" s="274"/>
      <c r="T1153" s="274"/>
      <c r="U1153" s="274" t="s">
        <v>677</v>
      </c>
      <c r="V1153" s="275" t="s">
        <v>27</v>
      </c>
      <c r="W1153" s="276"/>
      <c r="X1153" s="277"/>
    </row>
    <row r="1154" spans="1:27" ht="15" customHeight="1" thickBot="1">
      <c r="A1154" s="215"/>
      <c r="B1154" s="777" t="s">
        <v>1882</v>
      </c>
      <c r="C1154" s="245">
        <f>SUMIF(Densidades!A:A,'Memória TOTAL'!X1154,Densidades!B:B)</f>
        <v>0</v>
      </c>
      <c r="D1154" s="134">
        <f>SUMIF(Densidades!A:A,'Memória TOTAL'!X1154,Densidades!C:C)</f>
        <v>0</v>
      </c>
      <c r="E1154" s="970">
        <f>SUMIF(Formatos!A:A,'Memória TOTAL'!X1155,Formatos!E:E)</f>
        <v>0</v>
      </c>
      <c r="F1154" s="970">
        <f>SUMIF(Formatos!A:A,'Memória TOTAL'!X1155,Formatos!F:F)</f>
        <v>0</v>
      </c>
      <c r="G1154" s="970">
        <f>SUMIF(Formatos!A:A,'Memória TOTAL'!X1155,Formatos!C:C)</f>
        <v>0</v>
      </c>
      <c r="H1154" s="970">
        <f>SUMIF(Formatos!A:A,'Memória TOTAL'!X1155,Formatos!D:D)</f>
        <v>0</v>
      </c>
      <c r="I1154" s="135">
        <f>SUMIF(Densidades!A:A,'Memória TOTAL'!X1154,Densidades!H:H)</f>
        <v>0</v>
      </c>
      <c r="J1154" s="136">
        <f>SUMIF(Formatos!A:A,'Memória TOTAL'!X1155,Formatos!G:G)</f>
        <v>0</v>
      </c>
      <c r="K1154" s="137">
        <f>SUMIF(Densidades!A:A,'Memória TOTAL'!X1154,Densidades!I:I)</f>
        <v>0</v>
      </c>
      <c r="L1154" s="253">
        <v>0</v>
      </c>
      <c r="M1154" s="608"/>
      <c r="N1154" s="256"/>
      <c r="O1154" s="257"/>
      <c r="P1154" s="255">
        <f>O1154-M1154*2</f>
        <v>0</v>
      </c>
      <c r="Q1154" s="257"/>
      <c r="R1154" s="139"/>
      <c r="S1154" s="260"/>
      <c r="T1154" s="260"/>
      <c r="U1154" s="257"/>
      <c r="V1154" s="256" t="str">
        <f>IF(M1154="","",IF(M1154=H1158,ROUND(P1164,0),"ESP. ERRADA"))</f>
        <v/>
      </c>
      <c r="W1154" s="262" t="e">
        <f>IF(C1154=0,"",ROUNDUP(SUM(V1154)*(1+L1154),0))*U1154</f>
        <v>#VALUE!</v>
      </c>
      <c r="X1154" s="263"/>
    </row>
    <row r="1155" spans="1:27" s="186" customFormat="1" ht="15" customHeight="1" thickBot="1">
      <c r="A1155" s="215"/>
      <c r="B1155" s="778"/>
      <c r="C1155" s="236"/>
      <c r="D1155" s="195"/>
      <c r="E1155" s="195"/>
      <c r="F1155" s="195"/>
      <c r="G1155" s="195"/>
      <c r="H1155" s="195"/>
      <c r="I1155" s="195"/>
      <c r="J1155" s="196"/>
      <c r="K1155" s="196"/>
      <c r="L1155" s="144"/>
      <c r="M1155" s="195"/>
      <c r="N1155" s="195"/>
      <c r="O1155" s="195"/>
      <c r="P1155" s="195"/>
      <c r="Q1155" s="195"/>
      <c r="R1155" s="195"/>
      <c r="S1155" s="195"/>
      <c r="T1155" s="195"/>
      <c r="U1155" s="195"/>
      <c r="V1155" s="197"/>
      <c r="W1155" s="185"/>
      <c r="X1155" s="141" t="str">
        <f>IF(B1160="","",B1160)</f>
        <v/>
      </c>
      <c r="Z1155" s="187"/>
      <c r="AA1155" s="187"/>
    </row>
    <row r="1156" spans="1:27" s="186" customFormat="1" ht="15" customHeight="1">
      <c r="A1156" s="215"/>
      <c r="B1156" s="301"/>
      <c r="C1156" s="236"/>
      <c r="D1156" s="195"/>
      <c r="E1156" s="195"/>
      <c r="F1156" s="195"/>
      <c r="G1156" s="195"/>
      <c r="H1156" s="195"/>
      <c r="I1156" s="195"/>
      <c r="J1156" s="196"/>
      <c r="K1156" s="196"/>
      <c r="L1156" s="144"/>
      <c r="M1156" s="195"/>
      <c r="N1156" s="195"/>
      <c r="O1156" s="195"/>
      <c r="P1156" s="195"/>
      <c r="Q1156" s="195"/>
      <c r="R1156" s="195"/>
      <c r="S1156" s="195"/>
      <c r="T1156" s="195"/>
      <c r="U1156" s="195"/>
      <c r="V1156" s="197"/>
      <c r="W1156" s="185"/>
      <c r="X1156" s="141" t="s">
        <v>524</v>
      </c>
      <c r="Z1156" s="187"/>
      <c r="AA1156" s="187"/>
    </row>
    <row r="1157" spans="1:27" s="186" customFormat="1" ht="15" customHeight="1">
      <c r="A1157" s="215"/>
      <c r="B1157" s="301"/>
      <c r="C1157" s="299" t="str">
        <f t="shared" ref="C1157:L1157" si="160">C1153</f>
        <v>Dens.</v>
      </c>
      <c r="D1157" s="182" t="str">
        <f t="shared" si="160"/>
        <v>Emb.</v>
      </c>
      <c r="E1157" s="182" t="str">
        <f t="shared" si="160"/>
        <v>Esp. Tij.</v>
      </c>
      <c r="F1157" s="182" t="str">
        <f t="shared" si="160"/>
        <v>Esp. Tij.</v>
      </c>
      <c r="G1157" s="182" t="str">
        <f t="shared" si="160"/>
        <v>Comp. Tij.</v>
      </c>
      <c r="H1157" s="182" t="str">
        <f t="shared" si="160"/>
        <v>Larg. Tij.</v>
      </c>
      <c r="I1157" s="182" t="str">
        <f t="shared" si="160"/>
        <v>Tipo Fator</v>
      </c>
      <c r="J1157" s="182" t="str">
        <f t="shared" si="160"/>
        <v>Vol.</v>
      </c>
      <c r="K1157" s="182" t="str">
        <f t="shared" si="160"/>
        <v>Class.</v>
      </c>
      <c r="L1157" s="182" t="str">
        <f t="shared" si="160"/>
        <v>Coefic. (%)</v>
      </c>
      <c r="M1157" s="195"/>
      <c r="N1157" s="195"/>
      <c r="O1157" s="195"/>
      <c r="P1157" s="195"/>
      <c r="Q1157" s="195"/>
      <c r="R1157" s="195"/>
      <c r="S1157" s="195"/>
      <c r="T1157" s="195"/>
      <c r="U1157" s="195"/>
      <c r="V1157" s="152"/>
      <c r="W1157" s="185"/>
      <c r="X1157" s="141"/>
      <c r="Z1157" s="187"/>
      <c r="AA1157" s="187"/>
    </row>
    <row r="1158" spans="1:27" s="186" customFormat="1" ht="15" customHeight="1" thickBot="1">
      <c r="A1158" s="215"/>
      <c r="B1158" s="302"/>
      <c r="C1158" s="245">
        <f>SUMIF(Densidades!A:A,'Memória TOTAL'!X1158,Densidades!B:B)</f>
        <v>0</v>
      </c>
      <c r="D1158" s="134">
        <f>SUMIF(Densidades!A:A,'Memória TOTAL'!X1158,Densidades!C:C)</f>
        <v>0</v>
      </c>
      <c r="E1158" s="135">
        <f>IF(M1154=E1154,H1154,E1154)</f>
        <v>0</v>
      </c>
      <c r="F1158" s="135">
        <f>IF(M1154=E1154,H1154,F1154)</f>
        <v>0</v>
      </c>
      <c r="G1158" s="135">
        <f>IF(M1154=G1154,H1154,G1154)</f>
        <v>0</v>
      </c>
      <c r="H1158" s="135">
        <f>IF(M1154=E1154,E1154,IF(M1154=G1154,G1154,H1154))</f>
        <v>0</v>
      </c>
      <c r="I1158" s="135">
        <f>SUMIF(Densidades!A:A,'Memória TOTAL'!X1158,Densidades!H:H)</f>
        <v>0</v>
      </c>
      <c r="J1158" s="136">
        <f>SUMIF(Formatos!A:A,'Memória TOTAL'!X1159,Formatos!G:G)</f>
        <v>0</v>
      </c>
      <c r="K1158" s="222">
        <f>SUMIF(Densidades!A:A,'Memória TOTAL'!X1158,Densidades!I:I)</f>
        <v>0</v>
      </c>
      <c r="L1158" s="223">
        <v>0</v>
      </c>
      <c r="M1158" s="195"/>
      <c r="N1158" s="195"/>
      <c r="O1158" s="195"/>
      <c r="P1158" s="195"/>
      <c r="Q1158" s="195"/>
      <c r="R1158" s="195"/>
      <c r="S1158" s="195"/>
      <c r="T1158" s="232"/>
      <c r="U1158" s="235"/>
      <c r="V1158" s="152"/>
      <c r="W1158" s="185"/>
      <c r="X1158" s="141"/>
      <c r="Z1158" s="187"/>
      <c r="AA1158" s="187"/>
    </row>
    <row r="1159" spans="1:27" s="186" customFormat="1" ht="15" customHeight="1" thickBot="1">
      <c r="A1159" s="264"/>
      <c r="B1159" s="247" t="s">
        <v>675</v>
      </c>
      <c r="C1159" s="236"/>
      <c r="D1159" s="195"/>
      <c r="E1159" s="195"/>
      <c r="F1159" s="195"/>
      <c r="G1159" s="195"/>
      <c r="H1159" s="195"/>
      <c r="I1159" s="195"/>
      <c r="J1159" s="196"/>
      <c r="K1159" s="196"/>
      <c r="L1159" s="144"/>
      <c r="M1159" s="195"/>
      <c r="N1159" s="195"/>
      <c r="O1159" s="195"/>
      <c r="P1159" s="195"/>
      <c r="Q1159" s="195"/>
      <c r="R1159" s="195"/>
      <c r="S1159" s="195"/>
      <c r="T1159" s="195"/>
      <c r="U1159" s="195"/>
      <c r="V1159" s="152"/>
      <c r="W1159" s="185"/>
      <c r="X1159" s="141"/>
      <c r="Z1159" s="187"/>
      <c r="AA1159" s="187"/>
    </row>
    <row r="1160" spans="1:27" s="186" customFormat="1" ht="15" customHeight="1" thickBot="1">
      <c r="A1160" s="264"/>
      <c r="B1160" s="263"/>
      <c r="C1160" s="243" t="s">
        <v>54</v>
      </c>
      <c r="D1160" s="239"/>
      <c r="E1160" s="195"/>
      <c r="F1160" s="195"/>
      <c r="G1160" s="195"/>
      <c r="H1160" s="240"/>
      <c r="I1160" s="240"/>
      <c r="J1160" s="196"/>
      <c r="K1160" s="196"/>
      <c r="L1160" s="144"/>
      <c r="M1160" s="195"/>
      <c r="N1160" s="195"/>
      <c r="O1160" s="149"/>
      <c r="P1160" s="149"/>
      <c r="Q1160" s="150"/>
      <c r="R1160" s="149"/>
      <c r="S1160" s="149"/>
      <c r="T1160" s="195"/>
      <c r="U1160" s="195"/>
      <c r="V1160" s="152"/>
      <c r="W1160" s="185"/>
      <c r="X1160" s="141"/>
      <c r="Z1160" s="187"/>
      <c r="AA1160" s="187"/>
    </row>
    <row r="1161" spans="1:27" s="186" customFormat="1" ht="15" customHeight="1" thickBot="1">
      <c r="A1161" s="264"/>
      <c r="B1161" s="302"/>
      <c r="C1161" s="243"/>
      <c r="D1161" s="239"/>
      <c r="E1161" s="195"/>
      <c r="F1161" s="195"/>
      <c r="G1161" s="195"/>
      <c r="H1161" s="240"/>
      <c r="I1161" s="240"/>
      <c r="J1161" s="196"/>
      <c r="K1161" s="196"/>
      <c r="L1161" s="144"/>
      <c r="M1161" s="195"/>
      <c r="N1161" s="195"/>
      <c r="O1161" s="151"/>
      <c r="P1161" s="151"/>
      <c r="Q1161" s="157"/>
      <c r="R1161" s="151"/>
      <c r="S1161" s="151"/>
      <c r="T1161" s="195"/>
      <c r="U1161" s="195"/>
      <c r="V1161" s="152"/>
      <c r="W1161" s="231"/>
      <c r="X1161" s="141"/>
      <c r="Z1161" s="187"/>
      <c r="AA1161" s="187"/>
    </row>
    <row r="1162" spans="1:27" s="155" customFormat="1" ht="15" customHeight="1" thickBot="1">
      <c r="A1162" s="248"/>
      <c r="B1162" s="247" t="s">
        <v>676</v>
      </c>
      <c r="C1162" s="236"/>
      <c r="D1162" s="195"/>
      <c r="E1162" s="195"/>
      <c r="F1162" s="195"/>
      <c r="G1162" s="195"/>
      <c r="H1162" s="195"/>
      <c r="I1162" s="195"/>
      <c r="J1162" s="196"/>
      <c r="K1162" s="196"/>
      <c r="L1162" s="195"/>
      <c r="M1162" s="195"/>
      <c r="N1162" s="195"/>
      <c r="O1162" s="195"/>
      <c r="P1162" s="195"/>
      <c r="Q1162" s="195"/>
      <c r="R1162" s="195"/>
      <c r="S1162" s="195"/>
      <c r="T1162" s="151"/>
      <c r="U1162" s="151"/>
      <c r="V1162" s="152"/>
      <c r="W1162" s="153"/>
      <c r="X1162" s="154"/>
      <c r="Z1162" s="156"/>
      <c r="AA1162" s="156"/>
    </row>
    <row r="1163" spans="1:27" s="155" customFormat="1" ht="15" customHeight="1" thickBot="1">
      <c r="A1163" s="248"/>
      <c r="B1163" s="779"/>
      <c r="C1163" s="236"/>
      <c r="D1163" s="195"/>
      <c r="E1163" s="195"/>
      <c r="F1163" s="195"/>
      <c r="G1163" s="195"/>
      <c r="H1163" s="195"/>
      <c r="I1163" s="195"/>
      <c r="J1163" s="196"/>
      <c r="K1163" s="196"/>
      <c r="L1163" s="195"/>
      <c r="M1163" s="195"/>
      <c r="N1163" s="195"/>
      <c r="O1163" s="195"/>
      <c r="P1163" s="195"/>
      <c r="Q1163" s="195"/>
      <c r="R1163" s="195"/>
      <c r="S1163" s="781" t="s">
        <v>2188</v>
      </c>
      <c r="T1163" s="782"/>
      <c r="U1163" s="151"/>
      <c r="V1163" s="152"/>
      <c r="W1163" s="153"/>
      <c r="X1163" s="154"/>
      <c r="Z1163" s="156"/>
      <c r="AA1163" s="156"/>
    </row>
    <row r="1164" spans="1:27" s="186" customFormat="1" ht="15" customHeight="1" thickBot="1">
      <c r="A1164" s="215"/>
      <c r="B1164" s="780"/>
      <c r="C1164" s="297" t="s">
        <v>989</v>
      </c>
      <c r="D1164" s="196" t="s">
        <v>2191</v>
      </c>
      <c r="E1164" s="195" t="s">
        <v>22</v>
      </c>
      <c r="F1164" s="195" t="s">
        <v>48</v>
      </c>
      <c r="G1164" s="195" t="s">
        <v>985</v>
      </c>
      <c r="H1164" s="195" t="s">
        <v>45</v>
      </c>
      <c r="I1164" s="196" t="s">
        <v>46</v>
      </c>
      <c r="J1164" s="196"/>
      <c r="K1164" s="195" t="s">
        <v>54</v>
      </c>
      <c r="L1164" s="196"/>
      <c r="M1164" s="196"/>
      <c r="N1164" s="195"/>
      <c r="O1164" s="611" t="s">
        <v>53</v>
      </c>
      <c r="P1164" s="195" t="s">
        <v>54</v>
      </c>
      <c r="Q1164" s="195"/>
      <c r="R1164" s="195"/>
      <c r="S1164" s="297" t="s">
        <v>989</v>
      </c>
      <c r="T1164" s="195" t="s">
        <v>988</v>
      </c>
      <c r="U1164" s="195"/>
      <c r="V1164" s="197"/>
      <c r="W1164" s="185"/>
      <c r="X1164" s="141"/>
      <c r="Z1164" s="187"/>
      <c r="AA1164" s="187"/>
    </row>
    <row r="1165" spans="1:27" s="186" customFormat="1" ht="15" customHeight="1">
      <c r="A1165" s="215"/>
      <c r="B1165" s="213" t="s">
        <v>392</v>
      </c>
      <c r="C1165" s="297">
        <f>O1154</f>
        <v>0</v>
      </c>
      <c r="D1165" s="630">
        <f>Q1154</f>
        <v>0</v>
      </c>
      <c r="E1165" s="629">
        <f>E1158</f>
        <v>0</v>
      </c>
      <c r="F1165" s="629">
        <f>F1158</f>
        <v>0</v>
      </c>
      <c r="G1165" s="629">
        <f>IF(M1154=G1158,H1158,IF(M1154=H1158,G1158,"Espessura Errada"))</f>
        <v>0</v>
      </c>
      <c r="H1165" s="629">
        <f>M1154</f>
        <v>0</v>
      </c>
      <c r="I1165" s="630">
        <f>N1154</f>
        <v>0</v>
      </c>
      <c r="J1165" s="196"/>
      <c r="K1165" s="232" t="e">
        <f t="shared" ref="K1165:K1214" si="161">C1165*PI()/(E1165+I1165)</f>
        <v>#DIV/0!</v>
      </c>
      <c r="L1165" s="196"/>
      <c r="M1165" s="196"/>
      <c r="N1165" s="195"/>
      <c r="O1165" s="614">
        <v>360</v>
      </c>
      <c r="P1165" s="195" t="e">
        <f>ROUNDUP(K1165/360*O1165,0)</f>
        <v>#DIV/0!</v>
      </c>
      <c r="Q1165" s="195"/>
      <c r="R1165" s="195"/>
      <c r="S1165" s="327" t="e">
        <f t="shared" ref="S1165:S1214" si="162">((E1165+I1165)*K1165)-C1165*PI()</f>
        <v>#DIV/0!</v>
      </c>
      <c r="T1165" s="327" t="e">
        <f>(((F1165+I1165)*K1165)-(C1165-(H1165*2))*PI())/K1165</f>
        <v>#DIV/0!</v>
      </c>
      <c r="U1165" s="195"/>
      <c r="V1165" s="197"/>
      <c r="W1165" s="185"/>
      <c r="X1165" s="141"/>
      <c r="Z1165" s="187"/>
      <c r="AA1165" s="187"/>
    </row>
    <row r="1166" spans="1:27" s="186" customFormat="1" ht="15" customHeight="1">
      <c r="A1166" s="215"/>
      <c r="B1166" s="213" t="s">
        <v>984</v>
      </c>
      <c r="C1166" s="298">
        <f t="shared" ref="C1166:C1214" si="163">C1165+2*SIN(RADIANS(D1166))*(G1166+I1166)</f>
        <v>0</v>
      </c>
      <c r="D1166" s="630">
        <f t="shared" ref="D1166:I1166" si="164">D1165</f>
        <v>0</v>
      </c>
      <c r="E1166" s="629">
        <f>E1165</f>
        <v>0</v>
      </c>
      <c r="F1166" s="629">
        <f>F1165</f>
        <v>0</v>
      </c>
      <c r="G1166" s="629">
        <f>G1165</f>
        <v>0</v>
      </c>
      <c r="H1166" s="629">
        <f>H1165</f>
        <v>0</v>
      </c>
      <c r="I1166" s="630">
        <f t="shared" ref="I1166:N1181" si="165">I1165</f>
        <v>0</v>
      </c>
      <c r="J1166" s="196"/>
      <c r="K1166" s="232" t="e">
        <f t="shared" si="161"/>
        <v>#DIV/0!</v>
      </c>
      <c r="L1166" s="196"/>
      <c r="M1166" s="196"/>
      <c r="N1166" s="195"/>
      <c r="O1166" s="615">
        <f>O1165</f>
        <v>360</v>
      </c>
      <c r="P1166" s="195" t="e">
        <f t="shared" ref="P1166:P1213" si="166">ROUNDUP(K1166/360*O1166,0)</f>
        <v>#DIV/0!</v>
      </c>
      <c r="Q1166" s="195"/>
      <c r="R1166" s="195"/>
      <c r="S1166" s="327" t="e">
        <f t="shared" si="162"/>
        <v>#DIV/0!</v>
      </c>
      <c r="T1166" s="327" t="e">
        <f t="shared" ref="T1166:T1214" si="167">(((F1166+I1166)*K1166)-(C1166-(H1166*2))*PI())/K1166</f>
        <v>#DIV/0!</v>
      </c>
      <c r="U1166" s="195"/>
      <c r="V1166" s="197"/>
      <c r="W1166" s="185"/>
      <c r="X1166" s="141"/>
      <c r="Z1166" s="187"/>
      <c r="AA1166" s="187"/>
    </row>
    <row r="1167" spans="1:27" s="186" customFormat="1" ht="15" customHeight="1">
      <c r="A1167" s="215"/>
      <c r="B1167" s="213" t="s">
        <v>393</v>
      </c>
      <c r="C1167" s="298">
        <f t="shared" si="163"/>
        <v>0</v>
      </c>
      <c r="D1167" s="630">
        <f t="shared" ref="D1167:H1167" si="168">D1166</f>
        <v>0</v>
      </c>
      <c r="E1167" s="629">
        <f t="shared" si="168"/>
        <v>0</v>
      </c>
      <c r="F1167" s="629">
        <f t="shared" si="168"/>
        <v>0</v>
      </c>
      <c r="G1167" s="629">
        <f t="shared" si="168"/>
        <v>0</v>
      </c>
      <c r="H1167" s="629">
        <f t="shared" si="168"/>
        <v>0</v>
      </c>
      <c r="I1167" s="630">
        <f t="shared" si="165"/>
        <v>0</v>
      </c>
      <c r="J1167" s="196"/>
      <c r="K1167" s="232" t="e">
        <f t="shared" si="161"/>
        <v>#DIV/0!</v>
      </c>
      <c r="L1167" s="196"/>
      <c r="M1167" s="196"/>
      <c r="N1167" s="195"/>
      <c r="O1167" s="615">
        <f t="shared" ref="O1167:O1214" si="169">O1166</f>
        <v>360</v>
      </c>
      <c r="P1167" s="195" t="e">
        <f t="shared" si="166"/>
        <v>#DIV/0!</v>
      </c>
      <c r="Q1167" s="195"/>
      <c r="R1167" s="195"/>
      <c r="S1167" s="327" t="e">
        <f t="shared" si="162"/>
        <v>#DIV/0!</v>
      </c>
      <c r="T1167" s="327" t="e">
        <f t="shared" si="167"/>
        <v>#DIV/0!</v>
      </c>
      <c r="U1167" s="195"/>
      <c r="V1167" s="197"/>
      <c r="W1167" s="185"/>
      <c r="X1167" s="141"/>
      <c r="Z1167" s="187"/>
      <c r="AA1167" s="187"/>
    </row>
    <row r="1168" spans="1:27" s="186" customFormat="1" ht="15" customHeight="1">
      <c r="A1168" s="215"/>
      <c r="B1168" s="213" t="s">
        <v>394</v>
      </c>
      <c r="C1168" s="298">
        <f t="shared" si="163"/>
        <v>0</v>
      </c>
      <c r="D1168" s="630">
        <f t="shared" ref="D1168:H1168" si="170">D1167</f>
        <v>0</v>
      </c>
      <c r="E1168" s="629">
        <f t="shared" si="170"/>
        <v>0</v>
      </c>
      <c r="F1168" s="629">
        <f t="shared" si="170"/>
        <v>0</v>
      </c>
      <c r="G1168" s="629">
        <f t="shared" si="170"/>
        <v>0</v>
      </c>
      <c r="H1168" s="629">
        <f t="shared" si="170"/>
        <v>0</v>
      </c>
      <c r="I1168" s="630">
        <f t="shared" si="165"/>
        <v>0</v>
      </c>
      <c r="J1168" s="196"/>
      <c r="K1168" s="232" t="e">
        <f t="shared" si="161"/>
        <v>#DIV/0!</v>
      </c>
      <c r="L1168" s="196"/>
      <c r="M1168" s="196"/>
      <c r="N1168" s="195"/>
      <c r="O1168" s="615">
        <f t="shared" si="169"/>
        <v>360</v>
      </c>
      <c r="P1168" s="195" t="e">
        <f t="shared" si="166"/>
        <v>#DIV/0!</v>
      </c>
      <c r="Q1168" s="195"/>
      <c r="R1168" s="195"/>
      <c r="S1168" s="327" t="e">
        <f t="shared" si="162"/>
        <v>#DIV/0!</v>
      </c>
      <c r="T1168" s="327" t="e">
        <f t="shared" si="167"/>
        <v>#DIV/0!</v>
      </c>
      <c r="U1168" s="195"/>
      <c r="V1168" s="197"/>
      <c r="W1168" s="185"/>
      <c r="X1168" s="141"/>
      <c r="Z1168" s="187"/>
      <c r="AA1168" s="187"/>
    </row>
    <row r="1169" spans="1:27" s="186" customFormat="1" ht="15" customHeight="1">
      <c r="A1169" s="215"/>
      <c r="B1169" s="213" t="s">
        <v>395</v>
      </c>
      <c r="C1169" s="298">
        <f t="shared" si="163"/>
        <v>0</v>
      </c>
      <c r="D1169" s="630">
        <f t="shared" ref="D1169:H1169" si="171">D1168</f>
        <v>0</v>
      </c>
      <c r="E1169" s="629">
        <f t="shared" si="171"/>
        <v>0</v>
      </c>
      <c r="F1169" s="629">
        <f t="shared" si="171"/>
        <v>0</v>
      </c>
      <c r="G1169" s="629">
        <f t="shared" si="171"/>
        <v>0</v>
      </c>
      <c r="H1169" s="629">
        <f t="shared" si="171"/>
        <v>0</v>
      </c>
      <c r="I1169" s="630">
        <f t="shared" si="165"/>
        <v>0</v>
      </c>
      <c r="J1169" s="196"/>
      <c r="K1169" s="232" t="e">
        <f t="shared" si="161"/>
        <v>#DIV/0!</v>
      </c>
      <c r="L1169" s="196"/>
      <c r="M1169" s="196"/>
      <c r="N1169" s="195"/>
      <c r="O1169" s="615">
        <f t="shared" si="169"/>
        <v>360</v>
      </c>
      <c r="P1169" s="195" t="e">
        <f t="shared" si="166"/>
        <v>#DIV/0!</v>
      </c>
      <c r="Q1169" s="195"/>
      <c r="R1169" s="195"/>
      <c r="S1169" s="327" t="e">
        <f t="shared" si="162"/>
        <v>#DIV/0!</v>
      </c>
      <c r="T1169" s="327" t="e">
        <f t="shared" si="167"/>
        <v>#DIV/0!</v>
      </c>
      <c r="U1169" s="195"/>
      <c r="V1169" s="197"/>
      <c r="W1169" s="185"/>
      <c r="X1169" s="141"/>
      <c r="Z1169" s="187"/>
      <c r="AA1169" s="187"/>
    </row>
    <row r="1170" spans="1:27" s="186" customFormat="1" ht="15" customHeight="1">
      <c r="A1170" s="215"/>
      <c r="B1170" s="213" t="s">
        <v>396</v>
      </c>
      <c r="C1170" s="298">
        <f t="shared" si="163"/>
        <v>0</v>
      </c>
      <c r="D1170" s="630">
        <f t="shared" ref="D1170:H1170" si="172">D1169</f>
        <v>0</v>
      </c>
      <c r="E1170" s="629">
        <f t="shared" si="172"/>
        <v>0</v>
      </c>
      <c r="F1170" s="629">
        <f t="shared" si="172"/>
        <v>0</v>
      </c>
      <c r="G1170" s="629">
        <f t="shared" si="172"/>
        <v>0</v>
      </c>
      <c r="H1170" s="629">
        <f t="shared" si="172"/>
        <v>0</v>
      </c>
      <c r="I1170" s="630">
        <f t="shared" si="165"/>
        <v>0</v>
      </c>
      <c r="J1170" s="196"/>
      <c r="K1170" s="232" t="e">
        <f t="shared" si="161"/>
        <v>#DIV/0!</v>
      </c>
      <c r="L1170" s="196"/>
      <c r="M1170" s="196"/>
      <c r="N1170" s="195"/>
      <c r="O1170" s="615">
        <f t="shared" si="169"/>
        <v>360</v>
      </c>
      <c r="P1170" s="195" t="e">
        <f t="shared" si="166"/>
        <v>#DIV/0!</v>
      </c>
      <c r="Q1170" s="195"/>
      <c r="R1170" s="195"/>
      <c r="S1170" s="327" t="e">
        <f t="shared" si="162"/>
        <v>#DIV/0!</v>
      </c>
      <c r="T1170" s="327" t="e">
        <f t="shared" si="167"/>
        <v>#DIV/0!</v>
      </c>
      <c r="U1170" s="195"/>
      <c r="V1170" s="197"/>
      <c r="W1170" s="185"/>
      <c r="X1170" s="141"/>
      <c r="Z1170" s="187"/>
      <c r="AA1170" s="187"/>
    </row>
    <row r="1171" spans="1:27" s="186" customFormat="1" ht="15" customHeight="1">
      <c r="A1171" s="215"/>
      <c r="B1171" s="213" t="s">
        <v>397</v>
      </c>
      <c r="C1171" s="298">
        <f t="shared" si="163"/>
        <v>0</v>
      </c>
      <c r="D1171" s="630">
        <f t="shared" ref="D1171:H1171" si="173">D1170</f>
        <v>0</v>
      </c>
      <c r="E1171" s="629">
        <f t="shared" si="173"/>
        <v>0</v>
      </c>
      <c r="F1171" s="629">
        <f t="shared" si="173"/>
        <v>0</v>
      </c>
      <c r="G1171" s="629">
        <f t="shared" si="173"/>
        <v>0</v>
      </c>
      <c r="H1171" s="629">
        <f t="shared" si="173"/>
        <v>0</v>
      </c>
      <c r="I1171" s="630">
        <f t="shared" si="165"/>
        <v>0</v>
      </c>
      <c r="J1171" s="196"/>
      <c r="K1171" s="232" t="e">
        <f t="shared" si="161"/>
        <v>#DIV/0!</v>
      </c>
      <c r="L1171" s="196"/>
      <c r="M1171" s="196"/>
      <c r="N1171" s="195"/>
      <c r="O1171" s="615">
        <f t="shared" si="169"/>
        <v>360</v>
      </c>
      <c r="P1171" s="195" t="e">
        <f t="shared" si="166"/>
        <v>#DIV/0!</v>
      </c>
      <c r="Q1171" s="195"/>
      <c r="R1171" s="195"/>
      <c r="S1171" s="327" t="e">
        <f t="shared" si="162"/>
        <v>#DIV/0!</v>
      </c>
      <c r="T1171" s="327" t="e">
        <f t="shared" si="167"/>
        <v>#DIV/0!</v>
      </c>
      <c r="U1171" s="195"/>
      <c r="V1171" s="197"/>
      <c r="W1171" s="185"/>
      <c r="X1171" s="141"/>
      <c r="Z1171" s="187"/>
      <c r="AA1171" s="187"/>
    </row>
    <row r="1172" spans="1:27" s="186" customFormat="1" ht="15" customHeight="1">
      <c r="A1172" s="215"/>
      <c r="B1172" s="213" t="s">
        <v>398</v>
      </c>
      <c r="C1172" s="298">
        <f t="shared" si="163"/>
        <v>0</v>
      </c>
      <c r="D1172" s="630">
        <f t="shared" ref="D1172:H1172" si="174">D1171</f>
        <v>0</v>
      </c>
      <c r="E1172" s="629">
        <f t="shared" si="174"/>
        <v>0</v>
      </c>
      <c r="F1172" s="629">
        <f t="shared" si="174"/>
        <v>0</v>
      </c>
      <c r="G1172" s="629">
        <f t="shared" si="174"/>
        <v>0</v>
      </c>
      <c r="H1172" s="629">
        <f t="shared" si="174"/>
        <v>0</v>
      </c>
      <c r="I1172" s="630">
        <f t="shared" si="165"/>
        <v>0</v>
      </c>
      <c r="J1172" s="196"/>
      <c r="K1172" s="232" t="e">
        <f t="shared" si="161"/>
        <v>#DIV/0!</v>
      </c>
      <c r="L1172" s="232"/>
      <c r="M1172" s="232"/>
      <c r="N1172" s="195"/>
      <c r="O1172" s="615">
        <f t="shared" si="169"/>
        <v>360</v>
      </c>
      <c r="P1172" s="195" t="e">
        <f t="shared" si="166"/>
        <v>#DIV/0!</v>
      </c>
      <c r="Q1172" s="195"/>
      <c r="R1172" s="195"/>
      <c r="S1172" s="327" t="e">
        <f t="shared" si="162"/>
        <v>#DIV/0!</v>
      </c>
      <c r="T1172" s="327" t="e">
        <f t="shared" si="167"/>
        <v>#DIV/0!</v>
      </c>
      <c r="U1172" s="195"/>
      <c r="V1172" s="197"/>
      <c r="W1172" s="185"/>
      <c r="X1172" s="141"/>
      <c r="Z1172" s="187"/>
      <c r="AA1172" s="187"/>
    </row>
    <row r="1173" spans="1:27" s="186" customFormat="1" ht="15" customHeight="1">
      <c r="A1173" s="215"/>
      <c r="B1173" s="213" t="s">
        <v>399</v>
      </c>
      <c r="C1173" s="298">
        <f t="shared" si="163"/>
        <v>0</v>
      </c>
      <c r="D1173" s="630">
        <f t="shared" ref="D1173:H1173" si="175">D1172</f>
        <v>0</v>
      </c>
      <c r="E1173" s="629">
        <f t="shared" si="175"/>
        <v>0</v>
      </c>
      <c r="F1173" s="629">
        <f t="shared" si="175"/>
        <v>0</v>
      </c>
      <c r="G1173" s="629">
        <f t="shared" si="175"/>
        <v>0</v>
      </c>
      <c r="H1173" s="629">
        <f t="shared" si="175"/>
        <v>0</v>
      </c>
      <c r="I1173" s="630">
        <f t="shared" si="165"/>
        <v>0</v>
      </c>
      <c r="J1173" s="196"/>
      <c r="K1173" s="232" t="e">
        <f t="shared" si="161"/>
        <v>#DIV/0!</v>
      </c>
      <c r="L1173" s="232"/>
      <c r="M1173" s="232"/>
      <c r="N1173" s="195"/>
      <c r="O1173" s="615">
        <f t="shared" si="169"/>
        <v>360</v>
      </c>
      <c r="P1173" s="195" t="e">
        <f t="shared" si="166"/>
        <v>#DIV/0!</v>
      </c>
      <c r="Q1173" s="195"/>
      <c r="R1173" s="195"/>
      <c r="S1173" s="327" t="e">
        <f t="shared" si="162"/>
        <v>#DIV/0!</v>
      </c>
      <c r="T1173" s="327" t="e">
        <f t="shared" si="167"/>
        <v>#DIV/0!</v>
      </c>
      <c r="U1173" s="195"/>
      <c r="V1173" s="197"/>
      <c r="W1173" s="185"/>
      <c r="X1173" s="141"/>
      <c r="Z1173" s="187"/>
      <c r="AA1173" s="187"/>
    </row>
    <row r="1174" spans="1:27" s="186" customFormat="1" ht="15" customHeight="1">
      <c r="A1174" s="215"/>
      <c r="B1174" s="213" t="s">
        <v>400</v>
      </c>
      <c r="C1174" s="298">
        <f t="shared" si="163"/>
        <v>0</v>
      </c>
      <c r="D1174" s="630">
        <f t="shared" ref="D1174:H1174" si="176">D1173</f>
        <v>0</v>
      </c>
      <c r="E1174" s="629">
        <f t="shared" si="176"/>
        <v>0</v>
      </c>
      <c r="F1174" s="629">
        <f t="shared" si="176"/>
        <v>0</v>
      </c>
      <c r="G1174" s="629">
        <f t="shared" si="176"/>
        <v>0</v>
      </c>
      <c r="H1174" s="629">
        <f t="shared" si="176"/>
        <v>0</v>
      </c>
      <c r="I1174" s="630">
        <f t="shared" si="165"/>
        <v>0</v>
      </c>
      <c r="J1174" s="196"/>
      <c r="K1174" s="232" t="e">
        <f t="shared" si="161"/>
        <v>#DIV/0!</v>
      </c>
      <c r="L1174" s="232"/>
      <c r="M1174" s="232"/>
      <c r="N1174" s="195"/>
      <c r="O1174" s="615">
        <f t="shared" si="169"/>
        <v>360</v>
      </c>
      <c r="P1174" s="195" t="e">
        <f t="shared" si="166"/>
        <v>#DIV/0!</v>
      </c>
      <c r="Q1174" s="195"/>
      <c r="R1174" s="195"/>
      <c r="S1174" s="327" t="e">
        <f t="shared" si="162"/>
        <v>#DIV/0!</v>
      </c>
      <c r="T1174" s="327" t="e">
        <f t="shared" si="167"/>
        <v>#DIV/0!</v>
      </c>
      <c r="U1174" s="195"/>
      <c r="V1174" s="197"/>
      <c r="W1174" s="185"/>
      <c r="X1174" s="141"/>
      <c r="Z1174" s="187"/>
      <c r="AA1174" s="187"/>
    </row>
    <row r="1175" spans="1:27" s="186" customFormat="1" ht="15" customHeight="1">
      <c r="A1175" s="215"/>
      <c r="B1175" s="213" t="s">
        <v>401</v>
      </c>
      <c r="C1175" s="298">
        <f t="shared" si="163"/>
        <v>0</v>
      </c>
      <c r="D1175" s="630">
        <f t="shared" ref="D1175:H1175" si="177">D1174</f>
        <v>0</v>
      </c>
      <c r="E1175" s="629">
        <f t="shared" si="177"/>
        <v>0</v>
      </c>
      <c r="F1175" s="629">
        <f t="shared" si="177"/>
        <v>0</v>
      </c>
      <c r="G1175" s="629">
        <f t="shared" si="177"/>
        <v>0</v>
      </c>
      <c r="H1175" s="629">
        <f t="shared" si="177"/>
        <v>0</v>
      </c>
      <c r="I1175" s="630">
        <f t="shared" si="165"/>
        <v>0</v>
      </c>
      <c r="J1175" s="196"/>
      <c r="K1175" s="232" t="e">
        <f t="shared" si="161"/>
        <v>#DIV/0!</v>
      </c>
      <c r="L1175" s="232"/>
      <c r="M1175" s="232"/>
      <c r="N1175" s="195"/>
      <c r="O1175" s="615">
        <f t="shared" si="169"/>
        <v>360</v>
      </c>
      <c r="P1175" s="195" t="e">
        <f t="shared" si="166"/>
        <v>#DIV/0!</v>
      </c>
      <c r="Q1175" s="195"/>
      <c r="R1175" s="195"/>
      <c r="S1175" s="327" t="e">
        <f t="shared" si="162"/>
        <v>#DIV/0!</v>
      </c>
      <c r="T1175" s="327" t="e">
        <f t="shared" si="167"/>
        <v>#DIV/0!</v>
      </c>
      <c r="U1175" s="195"/>
      <c r="V1175" s="197"/>
      <c r="W1175" s="185"/>
      <c r="X1175" s="141"/>
      <c r="Z1175" s="187"/>
      <c r="AA1175" s="187"/>
    </row>
    <row r="1176" spans="1:27" s="186" customFormat="1" ht="15" customHeight="1">
      <c r="A1176" s="215"/>
      <c r="B1176" s="213" t="s">
        <v>402</v>
      </c>
      <c r="C1176" s="298">
        <f t="shared" si="163"/>
        <v>0</v>
      </c>
      <c r="D1176" s="630">
        <f t="shared" ref="D1176:H1176" si="178">D1175</f>
        <v>0</v>
      </c>
      <c r="E1176" s="629">
        <f t="shared" si="178"/>
        <v>0</v>
      </c>
      <c r="F1176" s="629">
        <f t="shared" si="178"/>
        <v>0</v>
      </c>
      <c r="G1176" s="629">
        <f t="shared" si="178"/>
        <v>0</v>
      </c>
      <c r="H1176" s="629">
        <f t="shared" si="178"/>
        <v>0</v>
      </c>
      <c r="I1176" s="630">
        <f t="shared" si="165"/>
        <v>0</v>
      </c>
      <c r="J1176" s="196"/>
      <c r="K1176" s="232" t="e">
        <f t="shared" si="161"/>
        <v>#DIV/0!</v>
      </c>
      <c r="L1176" s="232"/>
      <c r="M1176" s="232"/>
      <c r="N1176" s="195"/>
      <c r="O1176" s="615">
        <f t="shared" si="169"/>
        <v>360</v>
      </c>
      <c r="P1176" s="195" t="e">
        <f t="shared" si="166"/>
        <v>#DIV/0!</v>
      </c>
      <c r="Q1176" s="195"/>
      <c r="R1176" s="195"/>
      <c r="S1176" s="327" t="e">
        <f t="shared" si="162"/>
        <v>#DIV/0!</v>
      </c>
      <c r="T1176" s="327" t="e">
        <f t="shared" si="167"/>
        <v>#DIV/0!</v>
      </c>
      <c r="U1176" s="195"/>
      <c r="V1176" s="197"/>
      <c r="W1176" s="185"/>
      <c r="X1176" s="141"/>
      <c r="Z1176" s="187"/>
      <c r="AA1176" s="187"/>
    </row>
    <row r="1177" spans="1:27" s="186" customFormat="1" ht="15" customHeight="1">
      <c r="A1177" s="215"/>
      <c r="B1177" s="213" t="s">
        <v>403</v>
      </c>
      <c r="C1177" s="298">
        <f t="shared" si="163"/>
        <v>0</v>
      </c>
      <c r="D1177" s="630">
        <f t="shared" ref="D1177:H1177" si="179">D1176</f>
        <v>0</v>
      </c>
      <c r="E1177" s="629">
        <f t="shared" si="179"/>
        <v>0</v>
      </c>
      <c r="F1177" s="629">
        <f t="shared" si="179"/>
        <v>0</v>
      </c>
      <c r="G1177" s="629">
        <f t="shared" si="179"/>
        <v>0</v>
      </c>
      <c r="H1177" s="629">
        <f t="shared" si="179"/>
        <v>0</v>
      </c>
      <c r="I1177" s="630">
        <f t="shared" si="165"/>
        <v>0</v>
      </c>
      <c r="J1177" s="196"/>
      <c r="K1177" s="232" t="e">
        <f t="shared" si="161"/>
        <v>#DIV/0!</v>
      </c>
      <c r="L1177" s="232"/>
      <c r="M1177" s="232"/>
      <c r="N1177" s="195"/>
      <c r="O1177" s="615">
        <f t="shared" si="169"/>
        <v>360</v>
      </c>
      <c r="P1177" s="195" t="e">
        <f t="shared" si="166"/>
        <v>#DIV/0!</v>
      </c>
      <c r="Q1177" s="195"/>
      <c r="R1177" s="195"/>
      <c r="S1177" s="327" t="e">
        <f t="shared" si="162"/>
        <v>#DIV/0!</v>
      </c>
      <c r="T1177" s="327" t="e">
        <f t="shared" si="167"/>
        <v>#DIV/0!</v>
      </c>
      <c r="U1177" s="195"/>
      <c r="V1177" s="197"/>
      <c r="W1177" s="185"/>
      <c r="X1177" s="141"/>
      <c r="Z1177" s="187"/>
      <c r="AA1177" s="187"/>
    </row>
    <row r="1178" spans="1:27" s="186" customFormat="1" ht="15" customHeight="1">
      <c r="A1178" s="215"/>
      <c r="B1178" s="213" t="s">
        <v>404</v>
      </c>
      <c r="C1178" s="298">
        <f t="shared" si="163"/>
        <v>0</v>
      </c>
      <c r="D1178" s="630">
        <f t="shared" ref="D1178:H1178" si="180">D1177</f>
        <v>0</v>
      </c>
      <c r="E1178" s="629">
        <f t="shared" si="180"/>
        <v>0</v>
      </c>
      <c r="F1178" s="629">
        <f t="shared" si="180"/>
        <v>0</v>
      </c>
      <c r="G1178" s="629">
        <f t="shared" si="180"/>
        <v>0</v>
      </c>
      <c r="H1178" s="629">
        <f t="shared" si="180"/>
        <v>0</v>
      </c>
      <c r="I1178" s="630">
        <f t="shared" si="165"/>
        <v>0</v>
      </c>
      <c r="J1178" s="196"/>
      <c r="K1178" s="232" t="e">
        <f t="shared" si="161"/>
        <v>#DIV/0!</v>
      </c>
      <c r="L1178" s="232"/>
      <c r="M1178" s="232"/>
      <c r="N1178" s="195"/>
      <c r="O1178" s="615">
        <f t="shared" si="169"/>
        <v>360</v>
      </c>
      <c r="P1178" s="195" t="e">
        <f t="shared" si="166"/>
        <v>#DIV/0!</v>
      </c>
      <c r="Q1178" s="195"/>
      <c r="R1178" s="195"/>
      <c r="S1178" s="327" t="e">
        <f t="shared" si="162"/>
        <v>#DIV/0!</v>
      </c>
      <c r="T1178" s="327" t="e">
        <f t="shared" si="167"/>
        <v>#DIV/0!</v>
      </c>
      <c r="U1178" s="195"/>
      <c r="V1178" s="197"/>
      <c r="W1178" s="185"/>
      <c r="X1178" s="141"/>
      <c r="Z1178" s="187"/>
      <c r="AA1178" s="187"/>
    </row>
    <row r="1179" spans="1:27" s="186" customFormat="1" ht="15" customHeight="1">
      <c r="A1179" s="215"/>
      <c r="B1179" s="213" t="s">
        <v>405</v>
      </c>
      <c r="C1179" s="298">
        <f t="shared" si="163"/>
        <v>0</v>
      </c>
      <c r="D1179" s="630">
        <f t="shared" ref="D1179:H1179" si="181">D1178</f>
        <v>0</v>
      </c>
      <c r="E1179" s="629">
        <f t="shared" si="181"/>
        <v>0</v>
      </c>
      <c r="F1179" s="629">
        <f t="shared" si="181"/>
        <v>0</v>
      </c>
      <c r="G1179" s="629">
        <f t="shared" si="181"/>
        <v>0</v>
      </c>
      <c r="H1179" s="629">
        <f t="shared" si="181"/>
        <v>0</v>
      </c>
      <c r="I1179" s="630">
        <f t="shared" si="165"/>
        <v>0</v>
      </c>
      <c r="J1179" s="196"/>
      <c r="K1179" s="232" t="e">
        <f t="shared" si="161"/>
        <v>#DIV/0!</v>
      </c>
      <c r="L1179" s="232"/>
      <c r="M1179" s="232"/>
      <c r="N1179" s="195"/>
      <c r="O1179" s="615">
        <f t="shared" si="169"/>
        <v>360</v>
      </c>
      <c r="P1179" s="195" t="e">
        <f t="shared" si="166"/>
        <v>#DIV/0!</v>
      </c>
      <c r="Q1179" s="195"/>
      <c r="R1179" s="195"/>
      <c r="S1179" s="327" t="e">
        <f t="shared" si="162"/>
        <v>#DIV/0!</v>
      </c>
      <c r="T1179" s="327" t="e">
        <f t="shared" si="167"/>
        <v>#DIV/0!</v>
      </c>
      <c r="U1179" s="195"/>
      <c r="V1179" s="197"/>
      <c r="W1179" s="185"/>
      <c r="X1179" s="141"/>
      <c r="Z1179" s="187"/>
      <c r="AA1179" s="187"/>
    </row>
    <row r="1180" spans="1:27" s="186" customFormat="1" ht="15" customHeight="1">
      <c r="A1180" s="215"/>
      <c r="B1180" s="213" t="s">
        <v>406</v>
      </c>
      <c r="C1180" s="298">
        <f t="shared" si="163"/>
        <v>0</v>
      </c>
      <c r="D1180" s="630">
        <f t="shared" ref="D1180:H1180" si="182">D1179</f>
        <v>0</v>
      </c>
      <c r="E1180" s="629">
        <f t="shared" si="182"/>
        <v>0</v>
      </c>
      <c r="F1180" s="629">
        <f t="shared" si="182"/>
        <v>0</v>
      </c>
      <c r="G1180" s="629">
        <f t="shared" si="182"/>
        <v>0</v>
      </c>
      <c r="H1180" s="629">
        <f t="shared" si="182"/>
        <v>0</v>
      </c>
      <c r="I1180" s="630">
        <f t="shared" si="165"/>
        <v>0</v>
      </c>
      <c r="J1180" s="196"/>
      <c r="K1180" s="232" t="e">
        <f t="shared" si="161"/>
        <v>#DIV/0!</v>
      </c>
      <c r="L1180" s="232"/>
      <c r="M1180" s="232"/>
      <c r="N1180" s="195"/>
      <c r="O1180" s="615">
        <f t="shared" si="169"/>
        <v>360</v>
      </c>
      <c r="P1180" s="195" t="e">
        <f t="shared" si="166"/>
        <v>#DIV/0!</v>
      </c>
      <c r="Q1180" s="195"/>
      <c r="R1180" s="195"/>
      <c r="S1180" s="327" t="e">
        <f t="shared" si="162"/>
        <v>#DIV/0!</v>
      </c>
      <c r="T1180" s="327" t="e">
        <f t="shared" si="167"/>
        <v>#DIV/0!</v>
      </c>
      <c r="U1180" s="195"/>
      <c r="V1180" s="197"/>
      <c r="W1180" s="185"/>
      <c r="X1180" s="141"/>
      <c r="Z1180" s="187"/>
      <c r="AA1180" s="187"/>
    </row>
    <row r="1181" spans="1:27" s="186" customFormat="1" ht="15" customHeight="1">
      <c r="A1181" s="215"/>
      <c r="B1181" s="213" t="s">
        <v>407</v>
      </c>
      <c r="C1181" s="298">
        <f t="shared" si="163"/>
        <v>0</v>
      </c>
      <c r="D1181" s="630">
        <f t="shared" ref="D1181:H1181" si="183">D1180</f>
        <v>0</v>
      </c>
      <c r="E1181" s="629">
        <f t="shared" si="183"/>
        <v>0</v>
      </c>
      <c r="F1181" s="629">
        <f t="shared" si="183"/>
        <v>0</v>
      </c>
      <c r="G1181" s="629">
        <f t="shared" si="183"/>
        <v>0</v>
      </c>
      <c r="H1181" s="629">
        <f t="shared" si="183"/>
        <v>0</v>
      </c>
      <c r="I1181" s="630">
        <f t="shared" si="165"/>
        <v>0</v>
      </c>
      <c r="J1181" s="196"/>
      <c r="K1181" s="232" t="e">
        <f t="shared" si="161"/>
        <v>#DIV/0!</v>
      </c>
      <c r="L1181" s="232"/>
      <c r="M1181" s="232"/>
      <c r="N1181" s="195"/>
      <c r="O1181" s="615">
        <f t="shared" si="169"/>
        <v>360</v>
      </c>
      <c r="P1181" s="195" t="e">
        <f t="shared" si="166"/>
        <v>#DIV/0!</v>
      </c>
      <c r="Q1181" s="195"/>
      <c r="R1181" s="195"/>
      <c r="S1181" s="327" t="e">
        <f t="shared" si="162"/>
        <v>#DIV/0!</v>
      </c>
      <c r="T1181" s="327" t="e">
        <f t="shared" si="167"/>
        <v>#DIV/0!</v>
      </c>
      <c r="U1181" s="195"/>
      <c r="V1181" s="197"/>
      <c r="W1181" s="185"/>
      <c r="X1181" s="141"/>
      <c r="Z1181" s="187"/>
      <c r="AA1181" s="187"/>
    </row>
    <row r="1182" spans="1:27" s="186" customFormat="1" ht="15" customHeight="1">
      <c r="A1182" s="215"/>
      <c r="B1182" s="213" t="s">
        <v>408</v>
      </c>
      <c r="C1182" s="298">
        <f t="shared" si="163"/>
        <v>0</v>
      </c>
      <c r="D1182" s="630">
        <f t="shared" ref="D1182:I1197" si="184">D1181</f>
        <v>0</v>
      </c>
      <c r="E1182" s="629">
        <f t="shared" si="184"/>
        <v>0</v>
      </c>
      <c r="F1182" s="629">
        <f t="shared" si="184"/>
        <v>0</v>
      </c>
      <c r="G1182" s="629">
        <f t="shared" si="184"/>
        <v>0</v>
      </c>
      <c r="H1182" s="629">
        <f t="shared" si="184"/>
        <v>0</v>
      </c>
      <c r="I1182" s="630">
        <f t="shared" si="184"/>
        <v>0</v>
      </c>
      <c r="J1182" s="196"/>
      <c r="K1182" s="232" t="e">
        <f t="shared" si="161"/>
        <v>#DIV/0!</v>
      </c>
      <c r="L1182" s="232"/>
      <c r="M1182" s="232"/>
      <c r="N1182" s="195"/>
      <c r="O1182" s="615">
        <f t="shared" si="169"/>
        <v>360</v>
      </c>
      <c r="P1182" s="195" t="e">
        <f t="shared" si="166"/>
        <v>#DIV/0!</v>
      </c>
      <c r="Q1182" s="195"/>
      <c r="R1182" s="195"/>
      <c r="S1182" s="327" t="e">
        <f t="shared" si="162"/>
        <v>#DIV/0!</v>
      </c>
      <c r="T1182" s="327" t="e">
        <f t="shared" si="167"/>
        <v>#DIV/0!</v>
      </c>
      <c r="U1182" s="195"/>
      <c r="V1182" s="197"/>
      <c r="W1182" s="185"/>
      <c r="X1182" s="141"/>
      <c r="Z1182" s="187"/>
      <c r="AA1182" s="187"/>
    </row>
    <row r="1183" spans="1:27" s="186" customFormat="1" ht="15" customHeight="1">
      <c r="A1183" s="215"/>
      <c r="B1183" s="213" t="s">
        <v>409</v>
      </c>
      <c r="C1183" s="298">
        <f t="shared" si="163"/>
        <v>0</v>
      </c>
      <c r="D1183" s="630">
        <f t="shared" ref="D1183:H1183" si="185">D1182</f>
        <v>0</v>
      </c>
      <c r="E1183" s="629">
        <f t="shared" si="185"/>
        <v>0</v>
      </c>
      <c r="F1183" s="629">
        <f t="shared" si="185"/>
        <v>0</v>
      </c>
      <c r="G1183" s="629">
        <f t="shared" si="185"/>
        <v>0</v>
      </c>
      <c r="H1183" s="629">
        <f t="shared" si="185"/>
        <v>0</v>
      </c>
      <c r="I1183" s="630">
        <f t="shared" si="184"/>
        <v>0</v>
      </c>
      <c r="J1183" s="196"/>
      <c r="K1183" s="232" t="e">
        <f t="shared" si="161"/>
        <v>#DIV/0!</v>
      </c>
      <c r="L1183" s="232"/>
      <c r="M1183" s="232"/>
      <c r="N1183" s="195"/>
      <c r="O1183" s="615">
        <f t="shared" si="169"/>
        <v>360</v>
      </c>
      <c r="P1183" s="195" t="e">
        <f t="shared" si="166"/>
        <v>#DIV/0!</v>
      </c>
      <c r="Q1183" s="195"/>
      <c r="R1183" s="195"/>
      <c r="S1183" s="327" t="e">
        <f t="shared" si="162"/>
        <v>#DIV/0!</v>
      </c>
      <c r="T1183" s="327" t="e">
        <f t="shared" si="167"/>
        <v>#DIV/0!</v>
      </c>
      <c r="U1183" s="195"/>
      <c r="V1183" s="197"/>
      <c r="W1183" s="185"/>
      <c r="X1183" s="141"/>
      <c r="Z1183" s="187"/>
      <c r="AA1183" s="187"/>
    </row>
    <row r="1184" spans="1:27" s="186" customFormat="1" ht="15" customHeight="1">
      <c r="A1184" s="215"/>
      <c r="B1184" s="213" t="s">
        <v>410</v>
      </c>
      <c r="C1184" s="298">
        <f t="shared" si="163"/>
        <v>0</v>
      </c>
      <c r="D1184" s="630">
        <f t="shared" ref="D1184:H1184" si="186">D1183</f>
        <v>0</v>
      </c>
      <c r="E1184" s="629">
        <f t="shared" si="186"/>
        <v>0</v>
      </c>
      <c r="F1184" s="629">
        <f t="shared" si="186"/>
        <v>0</v>
      </c>
      <c r="G1184" s="629">
        <f t="shared" si="186"/>
        <v>0</v>
      </c>
      <c r="H1184" s="629">
        <f t="shared" si="186"/>
        <v>0</v>
      </c>
      <c r="I1184" s="630">
        <f t="shared" si="184"/>
        <v>0</v>
      </c>
      <c r="J1184" s="196"/>
      <c r="K1184" s="232" t="e">
        <f t="shared" si="161"/>
        <v>#DIV/0!</v>
      </c>
      <c r="L1184" s="232"/>
      <c r="M1184" s="232"/>
      <c r="N1184" s="195"/>
      <c r="O1184" s="615">
        <f t="shared" si="169"/>
        <v>360</v>
      </c>
      <c r="P1184" s="195" t="e">
        <f t="shared" si="166"/>
        <v>#DIV/0!</v>
      </c>
      <c r="Q1184" s="195"/>
      <c r="R1184" s="195"/>
      <c r="S1184" s="327" t="e">
        <f t="shared" si="162"/>
        <v>#DIV/0!</v>
      </c>
      <c r="T1184" s="327" t="e">
        <f t="shared" si="167"/>
        <v>#DIV/0!</v>
      </c>
      <c r="U1184" s="195"/>
      <c r="V1184" s="197"/>
      <c r="W1184" s="185"/>
      <c r="X1184" s="141"/>
      <c r="Z1184" s="187"/>
      <c r="AA1184" s="187"/>
    </row>
    <row r="1185" spans="1:27" s="186" customFormat="1" ht="15" customHeight="1">
      <c r="A1185" s="215"/>
      <c r="B1185" s="213" t="s">
        <v>411</v>
      </c>
      <c r="C1185" s="298">
        <f t="shared" si="163"/>
        <v>0</v>
      </c>
      <c r="D1185" s="630">
        <f t="shared" ref="D1185:H1185" si="187">D1184</f>
        <v>0</v>
      </c>
      <c r="E1185" s="629">
        <f t="shared" si="187"/>
        <v>0</v>
      </c>
      <c r="F1185" s="629">
        <f t="shared" si="187"/>
        <v>0</v>
      </c>
      <c r="G1185" s="629">
        <f t="shared" si="187"/>
        <v>0</v>
      </c>
      <c r="H1185" s="629">
        <f t="shared" si="187"/>
        <v>0</v>
      </c>
      <c r="I1185" s="630">
        <f t="shared" si="184"/>
        <v>0</v>
      </c>
      <c r="J1185" s="196"/>
      <c r="K1185" s="232" t="e">
        <f t="shared" si="161"/>
        <v>#DIV/0!</v>
      </c>
      <c r="L1185" s="232"/>
      <c r="M1185" s="232"/>
      <c r="N1185" s="195"/>
      <c r="O1185" s="615">
        <f t="shared" si="169"/>
        <v>360</v>
      </c>
      <c r="P1185" s="195" t="e">
        <f t="shared" si="166"/>
        <v>#DIV/0!</v>
      </c>
      <c r="Q1185" s="195"/>
      <c r="R1185" s="195"/>
      <c r="S1185" s="327" t="e">
        <f t="shared" si="162"/>
        <v>#DIV/0!</v>
      </c>
      <c r="T1185" s="327" t="e">
        <f t="shared" si="167"/>
        <v>#DIV/0!</v>
      </c>
      <c r="U1185" s="195"/>
      <c r="V1185" s="197"/>
      <c r="W1185" s="185"/>
      <c r="X1185" s="141"/>
      <c r="Z1185" s="187"/>
      <c r="AA1185" s="187"/>
    </row>
    <row r="1186" spans="1:27" s="186" customFormat="1" ht="15" customHeight="1">
      <c r="A1186" s="215"/>
      <c r="B1186" s="213" t="s">
        <v>412</v>
      </c>
      <c r="C1186" s="298">
        <f t="shared" si="163"/>
        <v>0</v>
      </c>
      <c r="D1186" s="630">
        <f t="shared" ref="D1186:H1186" si="188">D1185</f>
        <v>0</v>
      </c>
      <c r="E1186" s="629">
        <f t="shared" si="188"/>
        <v>0</v>
      </c>
      <c r="F1186" s="629">
        <f t="shared" si="188"/>
        <v>0</v>
      </c>
      <c r="G1186" s="629">
        <f t="shared" si="188"/>
        <v>0</v>
      </c>
      <c r="H1186" s="629">
        <f t="shared" si="188"/>
        <v>0</v>
      </c>
      <c r="I1186" s="630">
        <f t="shared" si="184"/>
        <v>0</v>
      </c>
      <c r="J1186" s="196"/>
      <c r="K1186" s="232" t="e">
        <f t="shared" si="161"/>
        <v>#DIV/0!</v>
      </c>
      <c r="L1186" s="232"/>
      <c r="M1186" s="232"/>
      <c r="N1186" s="195"/>
      <c r="O1186" s="615">
        <f t="shared" si="169"/>
        <v>360</v>
      </c>
      <c r="P1186" s="195" t="e">
        <f t="shared" si="166"/>
        <v>#DIV/0!</v>
      </c>
      <c r="Q1186" s="195"/>
      <c r="R1186" s="195"/>
      <c r="S1186" s="327" t="e">
        <f t="shared" si="162"/>
        <v>#DIV/0!</v>
      </c>
      <c r="T1186" s="327" t="e">
        <f t="shared" si="167"/>
        <v>#DIV/0!</v>
      </c>
      <c r="U1186" s="195"/>
      <c r="V1186" s="197"/>
      <c r="W1186" s="185"/>
      <c r="X1186" s="141"/>
      <c r="Z1186" s="187"/>
      <c r="AA1186" s="187"/>
    </row>
    <row r="1187" spans="1:27" s="186" customFormat="1" ht="15" customHeight="1">
      <c r="A1187" s="215"/>
      <c r="B1187" s="213" t="s">
        <v>413</v>
      </c>
      <c r="C1187" s="298">
        <f t="shared" si="163"/>
        <v>0</v>
      </c>
      <c r="D1187" s="630">
        <f t="shared" ref="D1187:H1187" si="189">D1186</f>
        <v>0</v>
      </c>
      <c r="E1187" s="629">
        <f t="shared" si="189"/>
        <v>0</v>
      </c>
      <c r="F1187" s="629">
        <f t="shared" si="189"/>
        <v>0</v>
      </c>
      <c r="G1187" s="629">
        <f t="shared" si="189"/>
        <v>0</v>
      </c>
      <c r="H1187" s="629">
        <f t="shared" si="189"/>
        <v>0</v>
      </c>
      <c r="I1187" s="630">
        <f t="shared" si="184"/>
        <v>0</v>
      </c>
      <c r="J1187" s="196"/>
      <c r="K1187" s="232" t="e">
        <f t="shared" si="161"/>
        <v>#DIV/0!</v>
      </c>
      <c r="L1187" s="232"/>
      <c r="M1187" s="232"/>
      <c r="N1187" s="195"/>
      <c r="O1187" s="615">
        <f t="shared" si="169"/>
        <v>360</v>
      </c>
      <c r="P1187" s="195" t="e">
        <f t="shared" si="166"/>
        <v>#DIV/0!</v>
      </c>
      <c r="Q1187" s="195"/>
      <c r="R1187" s="195"/>
      <c r="S1187" s="327" t="e">
        <f t="shared" si="162"/>
        <v>#DIV/0!</v>
      </c>
      <c r="T1187" s="327" t="e">
        <f t="shared" si="167"/>
        <v>#DIV/0!</v>
      </c>
      <c r="U1187" s="195"/>
      <c r="V1187" s="197"/>
      <c r="W1187" s="185"/>
      <c r="X1187" s="141"/>
      <c r="Z1187" s="187"/>
      <c r="AA1187" s="187"/>
    </row>
    <row r="1188" spans="1:27" s="186" customFormat="1" ht="15" customHeight="1">
      <c r="A1188" s="215"/>
      <c r="B1188" s="213" t="s">
        <v>414</v>
      </c>
      <c r="C1188" s="298">
        <f t="shared" si="163"/>
        <v>0</v>
      </c>
      <c r="D1188" s="630">
        <f t="shared" ref="D1188:H1188" si="190">D1187</f>
        <v>0</v>
      </c>
      <c r="E1188" s="629">
        <f t="shared" si="190"/>
        <v>0</v>
      </c>
      <c r="F1188" s="629">
        <f t="shared" si="190"/>
        <v>0</v>
      </c>
      <c r="G1188" s="629">
        <f t="shared" si="190"/>
        <v>0</v>
      </c>
      <c r="H1188" s="629">
        <f t="shared" si="190"/>
        <v>0</v>
      </c>
      <c r="I1188" s="630">
        <f t="shared" si="184"/>
        <v>0</v>
      </c>
      <c r="J1188" s="196"/>
      <c r="K1188" s="232" t="e">
        <f t="shared" si="161"/>
        <v>#DIV/0!</v>
      </c>
      <c r="L1188" s="232"/>
      <c r="M1188" s="232"/>
      <c r="N1188" s="195"/>
      <c r="O1188" s="615">
        <f t="shared" si="169"/>
        <v>360</v>
      </c>
      <c r="P1188" s="195" t="e">
        <f t="shared" si="166"/>
        <v>#DIV/0!</v>
      </c>
      <c r="Q1188" s="195"/>
      <c r="R1188" s="195"/>
      <c r="S1188" s="327" t="e">
        <f t="shared" si="162"/>
        <v>#DIV/0!</v>
      </c>
      <c r="T1188" s="327" t="e">
        <f t="shared" si="167"/>
        <v>#DIV/0!</v>
      </c>
      <c r="U1188" s="195"/>
      <c r="V1188" s="197"/>
      <c r="W1188" s="185"/>
      <c r="X1188" s="141"/>
      <c r="Z1188" s="187"/>
      <c r="AA1188" s="187"/>
    </row>
    <row r="1189" spans="1:27" s="186" customFormat="1" ht="15" customHeight="1">
      <c r="A1189" s="215"/>
      <c r="B1189" s="213" t="s">
        <v>415</v>
      </c>
      <c r="C1189" s="298">
        <f t="shared" si="163"/>
        <v>0</v>
      </c>
      <c r="D1189" s="630">
        <f t="shared" ref="D1189:H1189" si="191">D1188</f>
        <v>0</v>
      </c>
      <c r="E1189" s="629">
        <f t="shared" si="191"/>
        <v>0</v>
      </c>
      <c r="F1189" s="629">
        <f t="shared" si="191"/>
        <v>0</v>
      </c>
      <c r="G1189" s="629">
        <f t="shared" si="191"/>
        <v>0</v>
      </c>
      <c r="H1189" s="629">
        <f t="shared" si="191"/>
        <v>0</v>
      </c>
      <c r="I1189" s="630">
        <f t="shared" si="184"/>
        <v>0</v>
      </c>
      <c r="J1189" s="196"/>
      <c r="K1189" s="232" t="e">
        <f t="shared" si="161"/>
        <v>#DIV/0!</v>
      </c>
      <c r="L1189" s="232"/>
      <c r="M1189" s="232"/>
      <c r="N1189" s="195"/>
      <c r="O1189" s="615">
        <f t="shared" si="169"/>
        <v>360</v>
      </c>
      <c r="P1189" s="195" t="e">
        <f t="shared" si="166"/>
        <v>#DIV/0!</v>
      </c>
      <c r="Q1189" s="195"/>
      <c r="R1189" s="195"/>
      <c r="S1189" s="327" t="e">
        <f t="shared" si="162"/>
        <v>#DIV/0!</v>
      </c>
      <c r="T1189" s="327" t="e">
        <f t="shared" si="167"/>
        <v>#DIV/0!</v>
      </c>
      <c r="U1189" s="195"/>
      <c r="V1189" s="197"/>
      <c r="W1189" s="185"/>
      <c r="X1189" s="141"/>
      <c r="Z1189" s="187"/>
      <c r="AA1189" s="187"/>
    </row>
    <row r="1190" spans="1:27" s="186" customFormat="1" ht="15" customHeight="1">
      <c r="A1190" s="215"/>
      <c r="B1190" s="213" t="s">
        <v>416</v>
      </c>
      <c r="C1190" s="298">
        <f t="shared" si="163"/>
        <v>0</v>
      </c>
      <c r="D1190" s="630">
        <f t="shared" ref="D1190:H1190" si="192">D1189</f>
        <v>0</v>
      </c>
      <c r="E1190" s="629">
        <f t="shared" si="192"/>
        <v>0</v>
      </c>
      <c r="F1190" s="629">
        <f t="shared" si="192"/>
        <v>0</v>
      </c>
      <c r="G1190" s="629">
        <f t="shared" si="192"/>
        <v>0</v>
      </c>
      <c r="H1190" s="629">
        <f t="shared" si="192"/>
        <v>0</v>
      </c>
      <c r="I1190" s="630">
        <f t="shared" si="184"/>
        <v>0</v>
      </c>
      <c r="J1190" s="196"/>
      <c r="K1190" s="232" t="e">
        <f t="shared" si="161"/>
        <v>#DIV/0!</v>
      </c>
      <c r="L1190" s="232"/>
      <c r="M1190" s="232"/>
      <c r="N1190" s="195"/>
      <c r="O1190" s="615">
        <f t="shared" si="169"/>
        <v>360</v>
      </c>
      <c r="P1190" s="195" t="e">
        <f t="shared" si="166"/>
        <v>#DIV/0!</v>
      </c>
      <c r="Q1190" s="195"/>
      <c r="R1190" s="195"/>
      <c r="S1190" s="327" t="e">
        <f t="shared" si="162"/>
        <v>#DIV/0!</v>
      </c>
      <c r="T1190" s="327" t="e">
        <f t="shared" si="167"/>
        <v>#DIV/0!</v>
      </c>
      <c r="U1190" s="195"/>
      <c r="V1190" s="197"/>
      <c r="W1190" s="185"/>
      <c r="X1190" s="141"/>
      <c r="Z1190" s="187"/>
      <c r="AA1190" s="187"/>
    </row>
    <row r="1191" spans="1:27" s="186" customFormat="1" ht="15" customHeight="1">
      <c r="A1191" s="215"/>
      <c r="B1191" s="213" t="s">
        <v>417</v>
      </c>
      <c r="C1191" s="298">
        <f t="shared" si="163"/>
        <v>0</v>
      </c>
      <c r="D1191" s="630">
        <f t="shared" ref="D1191:H1191" si="193">D1190</f>
        <v>0</v>
      </c>
      <c r="E1191" s="629">
        <f t="shared" si="193"/>
        <v>0</v>
      </c>
      <c r="F1191" s="629">
        <f t="shared" si="193"/>
        <v>0</v>
      </c>
      <c r="G1191" s="629">
        <f t="shared" si="193"/>
        <v>0</v>
      </c>
      <c r="H1191" s="629">
        <f t="shared" si="193"/>
        <v>0</v>
      </c>
      <c r="I1191" s="630">
        <f t="shared" si="184"/>
        <v>0</v>
      </c>
      <c r="J1191" s="196"/>
      <c r="K1191" s="232" t="e">
        <f t="shared" si="161"/>
        <v>#DIV/0!</v>
      </c>
      <c r="L1191" s="232"/>
      <c r="M1191" s="232"/>
      <c r="N1191" s="195"/>
      <c r="O1191" s="615">
        <f t="shared" si="169"/>
        <v>360</v>
      </c>
      <c r="P1191" s="195" t="e">
        <f t="shared" si="166"/>
        <v>#DIV/0!</v>
      </c>
      <c r="Q1191" s="195"/>
      <c r="R1191" s="195"/>
      <c r="S1191" s="327" t="e">
        <f t="shared" si="162"/>
        <v>#DIV/0!</v>
      </c>
      <c r="T1191" s="327" t="e">
        <f t="shared" si="167"/>
        <v>#DIV/0!</v>
      </c>
      <c r="U1191" s="195"/>
      <c r="V1191" s="197"/>
      <c r="W1191" s="185"/>
      <c r="X1191" s="141"/>
      <c r="Z1191" s="187"/>
      <c r="AA1191" s="187"/>
    </row>
    <row r="1192" spans="1:27" s="186" customFormat="1" ht="15" customHeight="1">
      <c r="A1192" s="215"/>
      <c r="B1192" s="213" t="s">
        <v>418</v>
      </c>
      <c r="C1192" s="298">
        <f t="shared" si="163"/>
        <v>0</v>
      </c>
      <c r="D1192" s="630">
        <f t="shared" ref="D1192:H1192" si="194">D1191</f>
        <v>0</v>
      </c>
      <c r="E1192" s="629">
        <f t="shared" si="194"/>
        <v>0</v>
      </c>
      <c r="F1192" s="629">
        <f t="shared" si="194"/>
        <v>0</v>
      </c>
      <c r="G1192" s="629">
        <f t="shared" si="194"/>
        <v>0</v>
      </c>
      <c r="H1192" s="629">
        <f t="shared" si="194"/>
        <v>0</v>
      </c>
      <c r="I1192" s="630">
        <f t="shared" si="184"/>
        <v>0</v>
      </c>
      <c r="J1192" s="196"/>
      <c r="K1192" s="232" t="e">
        <f t="shared" si="161"/>
        <v>#DIV/0!</v>
      </c>
      <c r="L1192" s="232"/>
      <c r="M1192" s="232"/>
      <c r="N1192" s="195"/>
      <c r="O1192" s="615">
        <f t="shared" si="169"/>
        <v>360</v>
      </c>
      <c r="P1192" s="195" t="e">
        <f t="shared" si="166"/>
        <v>#DIV/0!</v>
      </c>
      <c r="Q1192" s="195"/>
      <c r="R1192" s="195"/>
      <c r="S1192" s="327" t="e">
        <f t="shared" si="162"/>
        <v>#DIV/0!</v>
      </c>
      <c r="T1192" s="327" t="e">
        <f t="shared" si="167"/>
        <v>#DIV/0!</v>
      </c>
      <c r="U1192" s="195"/>
      <c r="V1192" s="197"/>
      <c r="W1192" s="185"/>
      <c r="X1192" s="141"/>
      <c r="Z1192" s="187"/>
      <c r="AA1192" s="187"/>
    </row>
    <row r="1193" spans="1:27" s="186" customFormat="1" ht="15" customHeight="1">
      <c r="A1193" s="215"/>
      <c r="B1193" s="213" t="s">
        <v>419</v>
      </c>
      <c r="C1193" s="298">
        <f t="shared" si="163"/>
        <v>0</v>
      </c>
      <c r="D1193" s="630">
        <f t="shared" ref="D1193:H1193" si="195">D1192</f>
        <v>0</v>
      </c>
      <c r="E1193" s="629">
        <f t="shared" si="195"/>
        <v>0</v>
      </c>
      <c r="F1193" s="629">
        <f t="shared" si="195"/>
        <v>0</v>
      </c>
      <c r="G1193" s="629">
        <f t="shared" si="195"/>
        <v>0</v>
      </c>
      <c r="H1193" s="629">
        <f t="shared" si="195"/>
        <v>0</v>
      </c>
      <c r="I1193" s="630">
        <f t="shared" si="184"/>
        <v>0</v>
      </c>
      <c r="J1193" s="196"/>
      <c r="K1193" s="232" t="e">
        <f t="shared" si="161"/>
        <v>#DIV/0!</v>
      </c>
      <c r="L1193" s="232"/>
      <c r="M1193" s="232"/>
      <c r="N1193" s="195"/>
      <c r="O1193" s="615">
        <f t="shared" si="169"/>
        <v>360</v>
      </c>
      <c r="P1193" s="195" t="e">
        <f t="shared" si="166"/>
        <v>#DIV/0!</v>
      </c>
      <c r="Q1193" s="195"/>
      <c r="R1193" s="195"/>
      <c r="S1193" s="327" t="e">
        <f t="shared" si="162"/>
        <v>#DIV/0!</v>
      </c>
      <c r="T1193" s="327" t="e">
        <f t="shared" si="167"/>
        <v>#DIV/0!</v>
      </c>
      <c r="U1193" s="195"/>
      <c r="V1193" s="197"/>
      <c r="W1193" s="185"/>
      <c r="X1193" s="141"/>
      <c r="Z1193" s="187"/>
      <c r="AA1193" s="187"/>
    </row>
    <row r="1194" spans="1:27" s="186" customFormat="1" ht="15" customHeight="1">
      <c r="A1194" s="215"/>
      <c r="B1194" s="213" t="s">
        <v>420</v>
      </c>
      <c r="C1194" s="298">
        <f t="shared" si="163"/>
        <v>0</v>
      </c>
      <c r="D1194" s="630">
        <f t="shared" ref="D1194:H1194" si="196">D1193</f>
        <v>0</v>
      </c>
      <c r="E1194" s="629">
        <f t="shared" si="196"/>
        <v>0</v>
      </c>
      <c r="F1194" s="629">
        <f t="shared" si="196"/>
        <v>0</v>
      </c>
      <c r="G1194" s="629">
        <f t="shared" si="196"/>
        <v>0</v>
      </c>
      <c r="H1194" s="629">
        <f t="shared" si="196"/>
        <v>0</v>
      </c>
      <c r="I1194" s="630">
        <f t="shared" si="184"/>
        <v>0</v>
      </c>
      <c r="J1194" s="196"/>
      <c r="K1194" s="232" t="e">
        <f t="shared" si="161"/>
        <v>#DIV/0!</v>
      </c>
      <c r="L1194" s="232"/>
      <c r="M1194" s="232"/>
      <c r="N1194" s="195"/>
      <c r="O1194" s="615">
        <f t="shared" si="169"/>
        <v>360</v>
      </c>
      <c r="P1194" s="195" t="e">
        <f t="shared" si="166"/>
        <v>#DIV/0!</v>
      </c>
      <c r="Q1194" s="195"/>
      <c r="R1194" s="195"/>
      <c r="S1194" s="327" t="e">
        <f t="shared" si="162"/>
        <v>#DIV/0!</v>
      </c>
      <c r="T1194" s="327" t="e">
        <f t="shared" si="167"/>
        <v>#DIV/0!</v>
      </c>
      <c r="U1194" s="195"/>
      <c r="V1194" s="197"/>
      <c r="W1194" s="185"/>
      <c r="X1194" s="141"/>
      <c r="Z1194" s="187"/>
      <c r="AA1194" s="187"/>
    </row>
    <row r="1195" spans="1:27" s="186" customFormat="1" ht="15" customHeight="1">
      <c r="A1195" s="215"/>
      <c r="B1195" s="213" t="s">
        <v>990</v>
      </c>
      <c r="C1195" s="298">
        <f t="shared" si="163"/>
        <v>0</v>
      </c>
      <c r="D1195" s="630">
        <f t="shared" ref="D1195:H1195" si="197">D1194</f>
        <v>0</v>
      </c>
      <c r="E1195" s="629">
        <f t="shared" si="197"/>
        <v>0</v>
      </c>
      <c r="F1195" s="629">
        <f t="shared" si="197"/>
        <v>0</v>
      </c>
      <c r="G1195" s="629">
        <f t="shared" si="197"/>
        <v>0</v>
      </c>
      <c r="H1195" s="629">
        <f t="shared" si="197"/>
        <v>0</v>
      </c>
      <c r="I1195" s="630">
        <f t="shared" si="184"/>
        <v>0</v>
      </c>
      <c r="J1195" s="196"/>
      <c r="K1195" s="232" t="e">
        <f t="shared" si="161"/>
        <v>#DIV/0!</v>
      </c>
      <c r="L1195" s="232"/>
      <c r="M1195" s="232"/>
      <c r="N1195" s="195"/>
      <c r="O1195" s="615">
        <f t="shared" si="169"/>
        <v>360</v>
      </c>
      <c r="P1195" s="195" t="e">
        <f t="shared" si="166"/>
        <v>#DIV/0!</v>
      </c>
      <c r="Q1195" s="195"/>
      <c r="R1195" s="195"/>
      <c r="S1195" s="327" t="e">
        <f t="shared" si="162"/>
        <v>#DIV/0!</v>
      </c>
      <c r="T1195" s="327" t="e">
        <f t="shared" si="167"/>
        <v>#DIV/0!</v>
      </c>
      <c r="U1195" s="195"/>
      <c r="V1195" s="197"/>
      <c r="W1195" s="185"/>
      <c r="X1195" s="141"/>
      <c r="Z1195" s="187"/>
      <c r="AA1195" s="187"/>
    </row>
    <row r="1196" spans="1:27" s="186" customFormat="1" ht="15" customHeight="1">
      <c r="A1196" s="215"/>
      <c r="B1196" s="213" t="s">
        <v>991</v>
      </c>
      <c r="C1196" s="298">
        <f t="shared" si="163"/>
        <v>0</v>
      </c>
      <c r="D1196" s="630">
        <f t="shared" ref="D1196:H1196" si="198">D1195</f>
        <v>0</v>
      </c>
      <c r="E1196" s="629">
        <f t="shared" si="198"/>
        <v>0</v>
      </c>
      <c r="F1196" s="629">
        <f t="shared" si="198"/>
        <v>0</v>
      </c>
      <c r="G1196" s="629">
        <f t="shared" si="198"/>
        <v>0</v>
      </c>
      <c r="H1196" s="629">
        <f t="shared" si="198"/>
        <v>0</v>
      </c>
      <c r="I1196" s="630">
        <f t="shared" si="184"/>
        <v>0</v>
      </c>
      <c r="J1196" s="196"/>
      <c r="K1196" s="232" t="e">
        <f t="shared" si="161"/>
        <v>#DIV/0!</v>
      </c>
      <c r="L1196" s="232"/>
      <c r="M1196" s="232"/>
      <c r="N1196" s="195"/>
      <c r="O1196" s="615">
        <f t="shared" si="169"/>
        <v>360</v>
      </c>
      <c r="P1196" s="195" t="e">
        <f t="shared" si="166"/>
        <v>#DIV/0!</v>
      </c>
      <c r="Q1196" s="195"/>
      <c r="R1196" s="195"/>
      <c r="S1196" s="327" t="e">
        <f t="shared" si="162"/>
        <v>#DIV/0!</v>
      </c>
      <c r="T1196" s="327" t="e">
        <f t="shared" si="167"/>
        <v>#DIV/0!</v>
      </c>
      <c r="U1196" s="195"/>
      <c r="V1196" s="197"/>
      <c r="W1196" s="185"/>
      <c r="X1196" s="141"/>
      <c r="Z1196" s="187"/>
      <c r="AA1196" s="187"/>
    </row>
    <row r="1197" spans="1:27" s="186" customFormat="1" ht="15" customHeight="1">
      <c r="A1197" s="215"/>
      <c r="B1197" s="213" t="s">
        <v>992</v>
      </c>
      <c r="C1197" s="298">
        <f t="shared" si="163"/>
        <v>0</v>
      </c>
      <c r="D1197" s="630">
        <f t="shared" ref="D1197:H1197" si="199">D1196</f>
        <v>0</v>
      </c>
      <c r="E1197" s="629">
        <f t="shared" si="199"/>
        <v>0</v>
      </c>
      <c r="F1197" s="629">
        <f t="shared" si="199"/>
        <v>0</v>
      </c>
      <c r="G1197" s="629">
        <f t="shared" si="199"/>
        <v>0</v>
      </c>
      <c r="H1197" s="629">
        <f t="shared" si="199"/>
        <v>0</v>
      </c>
      <c r="I1197" s="630">
        <f t="shared" si="184"/>
        <v>0</v>
      </c>
      <c r="J1197" s="196"/>
      <c r="K1197" s="232" t="e">
        <f t="shared" si="161"/>
        <v>#DIV/0!</v>
      </c>
      <c r="L1197" s="232"/>
      <c r="M1197" s="232"/>
      <c r="N1197" s="195"/>
      <c r="O1197" s="615">
        <f t="shared" si="169"/>
        <v>360</v>
      </c>
      <c r="P1197" s="195" t="e">
        <f t="shared" si="166"/>
        <v>#DIV/0!</v>
      </c>
      <c r="Q1197" s="195"/>
      <c r="R1197" s="195"/>
      <c r="S1197" s="327" t="e">
        <f t="shared" si="162"/>
        <v>#DIV/0!</v>
      </c>
      <c r="T1197" s="327" t="e">
        <f t="shared" si="167"/>
        <v>#DIV/0!</v>
      </c>
      <c r="U1197" s="195"/>
      <c r="V1197" s="197"/>
      <c r="W1197" s="185"/>
      <c r="X1197" s="141"/>
      <c r="Z1197" s="187"/>
      <c r="AA1197" s="187"/>
    </row>
    <row r="1198" spans="1:27" s="186" customFormat="1" ht="15" customHeight="1">
      <c r="A1198" s="215"/>
      <c r="B1198" s="213" t="s">
        <v>993</v>
      </c>
      <c r="C1198" s="298">
        <f t="shared" si="163"/>
        <v>0</v>
      </c>
      <c r="D1198" s="630">
        <f t="shared" ref="D1198:I1213" si="200">D1197</f>
        <v>0</v>
      </c>
      <c r="E1198" s="629">
        <f t="shared" si="200"/>
        <v>0</v>
      </c>
      <c r="F1198" s="629">
        <f t="shared" si="200"/>
        <v>0</v>
      </c>
      <c r="G1198" s="629">
        <f t="shared" si="200"/>
        <v>0</v>
      </c>
      <c r="H1198" s="629">
        <f t="shared" si="200"/>
        <v>0</v>
      </c>
      <c r="I1198" s="630">
        <f t="shared" si="200"/>
        <v>0</v>
      </c>
      <c r="J1198" s="196"/>
      <c r="K1198" s="232" t="e">
        <f t="shared" si="161"/>
        <v>#DIV/0!</v>
      </c>
      <c r="L1198" s="232"/>
      <c r="M1198" s="232"/>
      <c r="N1198" s="195"/>
      <c r="O1198" s="615">
        <f t="shared" si="169"/>
        <v>360</v>
      </c>
      <c r="P1198" s="195" t="e">
        <f t="shared" si="166"/>
        <v>#DIV/0!</v>
      </c>
      <c r="Q1198" s="195"/>
      <c r="R1198" s="195"/>
      <c r="S1198" s="327" t="e">
        <f t="shared" si="162"/>
        <v>#DIV/0!</v>
      </c>
      <c r="T1198" s="327" t="e">
        <f t="shared" si="167"/>
        <v>#DIV/0!</v>
      </c>
      <c r="U1198" s="195"/>
      <c r="V1198" s="197"/>
      <c r="W1198" s="185"/>
      <c r="X1198" s="141"/>
      <c r="Z1198" s="187"/>
      <c r="AA1198" s="187"/>
    </row>
    <row r="1199" spans="1:27" s="186" customFormat="1" ht="15" customHeight="1">
      <c r="A1199" s="215"/>
      <c r="B1199" s="213" t="s">
        <v>994</v>
      </c>
      <c r="C1199" s="298">
        <f t="shared" si="163"/>
        <v>0</v>
      </c>
      <c r="D1199" s="630">
        <f t="shared" ref="D1199:H1199" si="201">D1198</f>
        <v>0</v>
      </c>
      <c r="E1199" s="629">
        <f t="shared" si="201"/>
        <v>0</v>
      </c>
      <c r="F1199" s="629">
        <f t="shared" si="201"/>
        <v>0</v>
      </c>
      <c r="G1199" s="629">
        <f t="shared" si="201"/>
        <v>0</v>
      </c>
      <c r="H1199" s="629">
        <f t="shared" si="201"/>
        <v>0</v>
      </c>
      <c r="I1199" s="630">
        <f t="shared" si="200"/>
        <v>0</v>
      </c>
      <c r="J1199" s="196"/>
      <c r="K1199" s="232" t="e">
        <f t="shared" si="161"/>
        <v>#DIV/0!</v>
      </c>
      <c r="L1199" s="232"/>
      <c r="M1199" s="232"/>
      <c r="N1199" s="195"/>
      <c r="O1199" s="615">
        <f t="shared" si="169"/>
        <v>360</v>
      </c>
      <c r="P1199" s="195" t="e">
        <f t="shared" si="166"/>
        <v>#DIV/0!</v>
      </c>
      <c r="Q1199" s="195"/>
      <c r="R1199" s="195"/>
      <c r="S1199" s="327" t="e">
        <f t="shared" si="162"/>
        <v>#DIV/0!</v>
      </c>
      <c r="T1199" s="327" t="e">
        <f t="shared" si="167"/>
        <v>#DIV/0!</v>
      </c>
      <c r="U1199" s="195"/>
      <c r="V1199" s="197"/>
      <c r="W1199" s="185"/>
      <c r="X1199" s="141"/>
      <c r="Z1199" s="187"/>
      <c r="AA1199" s="187"/>
    </row>
    <row r="1200" spans="1:27" s="186" customFormat="1" ht="15" customHeight="1">
      <c r="A1200" s="215"/>
      <c r="B1200" s="213" t="s">
        <v>995</v>
      </c>
      <c r="C1200" s="298">
        <f t="shared" si="163"/>
        <v>0</v>
      </c>
      <c r="D1200" s="630">
        <f t="shared" ref="D1200:H1200" si="202">D1199</f>
        <v>0</v>
      </c>
      <c r="E1200" s="629">
        <f t="shared" si="202"/>
        <v>0</v>
      </c>
      <c r="F1200" s="629">
        <f t="shared" si="202"/>
        <v>0</v>
      </c>
      <c r="G1200" s="629">
        <f t="shared" si="202"/>
        <v>0</v>
      </c>
      <c r="H1200" s="629">
        <f t="shared" si="202"/>
        <v>0</v>
      </c>
      <c r="I1200" s="630">
        <f t="shared" si="200"/>
        <v>0</v>
      </c>
      <c r="J1200" s="196"/>
      <c r="K1200" s="232" t="e">
        <f t="shared" si="161"/>
        <v>#DIV/0!</v>
      </c>
      <c r="L1200" s="232"/>
      <c r="M1200" s="232"/>
      <c r="N1200" s="195"/>
      <c r="O1200" s="615">
        <f t="shared" si="169"/>
        <v>360</v>
      </c>
      <c r="P1200" s="195" t="e">
        <f t="shared" si="166"/>
        <v>#DIV/0!</v>
      </c>
      <c r="Q1200" s="195"/>
      <c r="R1200" s="195"/>
      <c r="S1200" s="327" t="e">
        <f t="shared" si="162"/>
        <v>#DIV/0!</v>
      </c>
      <c r="T1200" s="327" t="e">
        <f t="shared" si="167"/>
        <v>#DIV/0!</v>
      </c>
      <c r="U1200" s="195"/>
      <c r="V1200" s="197"/>
      <c r="W1200" s="185"/>
      <c r="X1200" s="141"/>
      <c r="Z1200" s="187"/>
      <c r="AA1200" s="187"/>
    </row>
    <row r="1201" spans="1:27" s="186" customFormat="1" ht="15" customHeight="1">
      <c r="A1201" s="215"/>
      <c r="B1201" s="213" t="s">
        <v>996</v>
      </c>
      <c r="C1201" s="298">
        <f t="shared" si="163"/>
        <v>0</v>
      </c>
      <c r="D1201" s="630">
        <f t="shared" ref="D1201:H1201" si="203">D1200</f>
        <v>0</v>
      </c>
      <c r="E1201" s="629">
        <f t="shared" si="203"/>
        <v>0</v>
      </c>
      <c r="F1201" s="629">
        <f t="shared" si="203"/>
        <v>0</v>
      </c>
      <c r="G1201" s="629">
        <f t="shared" si="203"/>
        <v>0</v>
      </c>
      <c r="H1201" s="629">
        <f t="shared" si="203"/>
        <v>0</v>
      </c>
      <c r="I1201" s="630">
        <f t="shared" si="200"/>
        <v>0</v>
      </c>
      <c r="J1201" s="196"/>
      <c r="K1201" s="232" t="e">
        <f t="shared" si="161"/>
        <v>#DIV/0!</v>
      </c>
      <c r="L1201" s="232"/>
      <c r="M1201" s="232"/>
      <c r="N1201" s="195"/>
      <c r="O1201" s="615">
        <f t="shared" si="169"/>
        <v>360</v>
      </c>
      <c r="P1201" s="195" t="e">
        <f t="shared" si="166"/>
        <v>#DIV/0!</v>
      </c>
      <c r="Q1201" s="195"/>
      <c r="R1201" s="195"/>
      <c r="S1201" s="327" t="e">
        <f t="shared" si="162"/>
        <v>#DIV/0!</v>
      </c>
      <c r="T1201" s="327" t="e">
        <f t="shared" si="167"/>
        <v>#DIV/0!</v>
      </c>
      <c r="U1201" s="195"/>
      <c r="V1201" s="197"/>
      <c r="W1201" s="185"/>
      <c r="X1201" s="141"/>
      <c r="Z1201" s="187"/>
      <c r="AA1201" s="187"/>
    </row>
    <row r="1202" spans="1:27" s="186" customFormat="1" ht="15" customHeight="1">
      <c r="A1202" s="215"/>
      <c r="B1202" s="213" t="s">
        <v>997</v>
      </c>
      <c r="C1202" s="298">
        <f t="shared" si="163"/>
        <v>0</v>
      </c>
      <c r="D1202" s="630">
        <f t="shared" ref="D1202:H1202" si="204">D1201</f>
        <v>0</v>
      </c>
      <c r="E1202" s="629">
        <f t="shared" si="204"/>
        <v>0</v>
      </c>
      <c r="F1202" s="629">
        <f t="shared" si="204"/>
        <v>0</v>
      </c>
      <c r="G1202" s="629">
        <f t="shared" si="204"/>
        <v>0</v>
      </c>
      <c r="H1202" s="629">
        <f t="shared" si="204"/>
        <v>0</v>
      </c>
      <c r="I1202" s="630">
        <f t="shared" si="200"/>
        <v>0</v>
      </c>
      <c r="J1202" s="196"/>
      <c r="K1202" s="232" t="e">
        <f t="shared" si="161"/>
        <v>#DIV/0!</v>
      </c>
      <c r="L1202" s="232"/>
      <c r="M1202" s="232"/>
      <c r="N1202" s="195"/>
      <c r="O1202" s="615">
        <f t="shared" si="169"/>
        <v>360</v>
      </c>
      <c r="P1202" s="195" t="e">
        <f t="shared" si="166"/>
        <v>#DIV/0!</v>
      </c>
      <c r="Q1202" s="195"/>
      <c r="R1202" s="195"/>
      <c r="S1202" s="327" t="e">
        <f t="shared" si="162"/>
        <v>#DIV/0!</v>
      </c>
      <c r="T1202" s="327" t="e">
        <f t="shared" si="167"/>
        <v>#DIV/0!</v>
      </c>
      <c r="U1202" s="195"/>
      <c r="V1202" s="197"/>
      <c r="W1202" s="185"/>
      <c r="X1202" s="141"/>
      <c r="Z1202" s="187"/>
      <c r="AA1202" s="187"/>
    </row>
    <row r="1203" spans="1:27" s="186" customFormat="1" ht="15" customHeight="1">
      <c r="A1203" s="215"/>
      <c r="B1203" s="213" t="s">
        <v>998</v>
      </c>
      <c r="C1203" s="298">
        <f t="shared" si="163"/>
        <v>0</v>
      </c>
      <c r="D1203" s="630">
        <f t="shared" ref="D1203:H1203" si="205">D1202</f>
        <v>0</v>
      </c>
      <c r="E1203" s="629">
        <f t="shared" si="205"/>
        <v>0</v>
      </c>
      <c r="F1203" s="629">
        <f t="shared" si="205"/>
        <v>0</v>
      </c>
      <c r="G1203" s="629">
        <f t="shared" si="205"/>
        <v>0</v>
      </c>
      <c r="H1203" s="629">
        <f t="shared" si="205"/>
        <v>0</v>
      </c>
      <c r="I1203" s="630">
        <f t="shared" si="200"/>
        <v>0</v>
      </c>
      <c r="J1203" s="196"/>
      <c r="K1203" s="232" t="e">
        <f t="shared" si="161"/>
        <v>#DIV/0!</v>
      </c>
      <c r="L1203" s="232"/>
      <c r="M1203" s="232"/>
      <c r="N1203" s="195"/>
      <c r="O1203" s="615">
        <f t="shared" si="169"/>
        <v>360</v>
      </c>
      <c r="P1203" s="195" t="e">
        <f t="shared" si="166"/>
        <v>#DIV/0!</v>
      </c>
      <c r="Q1203" s="195"/>
      <c r="R1203" s="195"/>
      <c r="S1203" s="327" t="e">
        <f t="shared" si="162"/>
        <v>#DIV/0!</v>
      </c>
      <c r="T1203" s="327" t="e">
        <f t="shared" si="167"/>
        <v>#DIV/0!</v>
      </c>
      <c r="U1203" s="195"/>
      <c r="V1203" s="197"/>
      <c r="W1203" s="185"/>
      <c r="X1203" s="141"/>
      <c r="Z1203" s="187"/>
      <c r="AA1203" s="187"/>
    </row>
    <row r="1204" spans="1:27" s="186" customFormat="1" ht="15" customHeight="1">
      <c r="A1204" s="215"/>
      <c r="B1204" s="213" t="s">
        <v>999</v>
      </c>
      <c r="C1204" s="298">
        <f t="shared" si="163"/>
        <v>0</v>
      </c>
      <c r="D1204" s="630">
        <f t="shared" ref="D1204:H1204" si="206">D1203</f>
        <v>0</v>
      </c>
      <c r="E1204" s="629">
        <f t="shared" si="206"/>
        <v>0</v>
      </c>
      <c r="F1204" s="629">
        <f t="shared" si="206"/>
        <v>0</v>
      </c>
      <c r="G1204" s="629">
        <f t="shared" si="206"/>
        <v>0</v>
      </c>
      <c r="H1204" s="629">
        <f t="shared" si="206"/>
        <v>0</v>
      </c>
      <c r="I1204" s="630">
        <f t="shared" si="200"/>
        <v>0</v>
      </c>
      <c r="J1204" s="196"/>
      <c r="K1204" s="232" t="e">
        <f t="shared" si="161"/>
        <v>#DIV/0!</v>
      </c>
      <c r="L1204" s="232"/>
      <c r="M1204" s="232"/>
      <c r="N1204" s="195"/>
      <c r="O1204" s="615">
        <f t="shared" si="169"/>
        <v>360</v>
      </c>
      <c r="P1204" s="195" t="e">
        <f t="shared" si="166"/>
        <v>#DIV/0!</v>
      </c>
      <c r="Q1204" s="195"/>
      <c r="R1204" s="195"/>
      <c r="S1204" s="327" t="e">
        <f t="shared" si="162"/>
        <v>#DIV/0!</v>
      </c>
      <c r="T1204" s="327" t="e">
        <f t="shared" si="167"/>
        <v>#DIV/0!</v>
      </c>
      <c r="U1204" s="195"/>
      <c r="V1204" s="197"/>
      <c r="W1204" s="185"/>
      <c r="X1204" s="141"/>
      <c r="Z1204" s="187"/>
      <c r="AA1204" s="187"/>
    </row>
    <row r="1205" spans="1:27" s="186" customFormat="1" ht="15" customHeight="1">
      <c r="A1205" s="215"/>
      <c r="B1205" s="213" t="s">
        <v>1000</v>
      </c>
      <c r="C1205" s="298">
        <f t="shared" si="163"/>
        <v>0</v>
      </c>
      <c r="D1205" s="630">
        <f t="shared" ref="D1205:H1205" si="207">D1204</f>
        <v>0</v>
      </c>
      <c r="E1205" s="629">
        <f t="shared" si="207"/>
        <v>0</v>
      </c>
      <c r="F1205" s="629">
        <f t="shared" si="207"/>
        <v>0</v>
      </c>
      <c r="G1205" s="629">
        <f t="shared" si="207"/>
        <v>0</v>
      </c>
      <c r="H1205" s="629">
        <f t="shared" si="207"/>
        <v>0</v>
      </c>
      <c r="I1205" s="630">
        <f t="shared" si="200"/>
        <v>0</v>
      </c>
      <c r="J1205" s="196"/>
      <c r="K1205" s="232" t="e">
        <f t="shared" si="161"/>
        <v>#DIV/0!</v>
      </c>
      <c r="L1205" s="232"/>
      <c r="M1205" s="232"/>
      <c r="N1205" s="195"/>
      <c r="O1205" s="615">
        <f t="shared" si="169"/>
        <v>360</v>
      </c>
      <c r="P1205" s="195" t="e">
        <f t="shared" si="166"/>
        <v>#DIV/0!</v>
      </c>
      <c r="Q1205" s="195"/>
      <c r="R1205" s="195"/>
      <c r="S1205" s="327" t="e">
        <f t="shared" si="162"/>
        <v>#DIV/0!</v>
      </c>
      <c r="T1205" s="327" t="e">
        <f t="shared" si="167"/>
        <v>#DIV/0!</v>
      </c>
      <c r="U1205" s="195"/>
      <c r="V1205" s="197"/>
      <c r="W1205" s="185"/>
      <c r="X1205" s="141"/>
      <c r="Z1205" s="187"/>
      <c r="AA1205" s="187"/>
    </row>
    <row r="1206" spans="1:27" s="186" customFormat="1" ht="15" customHeight="1">
      <c r="A1206" s="215"/>
      <c r="B1206" s="213" t="s">
        <v>1001</v>
      </c>
      <c r="C1206" s="298">
        <f t="shared" si="163"/>
        <v>0</v>
      </c>
      <c r="D1206" s="630">
        <f t="shared" ref="D1206:H1206" si="208">D1205</f>
        <v>0</v>
      </c>
      <c r="E1206" s="629">
        <f t="shared" si="208"/>
        <v>0</v>
      </c>
      <c r="F1206" s="629">
        <f t="shared" si="208"/>
        <v>0</v>
      </c>
      <c r="G1206" s="629">
        <f t="shared" si="208"/>
        <v>0</v>
      </c>
      <c r="H1206" s="629">
        <f t="shared" si="208"/>
        <v>0</v>
      </c>
      <c r="I1206" s="630">
        <f t="shared" si="200"/>
        <v>0</v>
      </c>
      <c r="J1206" s="196"/>
      <c r="K1206" s="232" t="e">
        <f t="shared" si="161"/>
        <v>#DIV/0!</v>
      </c>
      <c r="L1206" s="232"/>
      <c r="M1206" s="232"/>
      <c r="N1206" s="195"/>
      <c r="O1206" s="615">
        <f t="shared" si="169"/>
        <v>360</v>
      </c>
      <c r="P1206" s="195" t="e">
        <f t="shared" si="166"/>
        <v>#DIV/0!</v>
      </c>
      <c r="Q1206" s="195"/>
      <c r="R1206" s="195"/>
      <c r="S1206" s="327" t="e">
        <f t="shared" si="162"/>
        <v>#DIV/0!</v>
      </c>
      <c r="T1206" s="327" t="e">
        <f t="shared" si="167"/>
        <v>#DIV/0!</v>
      </c>
      <c r="U1206" s="195"/>
      <c r="V1206" s="197"/>
      <c r="W1206" s="185"/>
      <c r="X1206" s="141"/>
      <c r="Z1206" s="187"/>
      <c r="AA1206" s="187"/>
    </row>
    <row r="1207" spans="1:27" s="186" customFormat="1" ht="15" customHeight="1">
      <c r="A1207" s="215"/>
      <c r="B1207" s="213" t="s">
        <v>1002</v>
      </c>
      <c r="C1207" s="298">
        <f t="shared" si="163"/>
        <v>0</v>
      </c>
      <c r="D1207" s="630">
        <f t="shared" ref="D1207:H1207" si="209">D1206</f>
        <v>0</v>
      </c>
      <c r="E1207" s="629">
        <f t="shared" si="209"/>
        <v>0</v>
      </c>
      <c r="F1207" s="629">
        <f t="shared" si="209"/>
        <v>0</v>
      </c>
      <c r="G1207" s="629">
        <f t="shared" si="209"/>
        <v>0</v>
      </c>
      <c r="H1207" s="629">
        <f t="shared" si="209"/>
        <v>0</v>
      </c>
      <c r="I1207" s="630">
        <f t="shared" si="200"/>
        <v>0</v>
      </c>
      <c r="J1207" s="196"/>
      <c r="K1207" s="232" t="e">
        <f t="shared" si="161"/>
        <v>#DIV/0!</v>
      </c>
      <c r="L1207" s="232"/>
      <c r="M1207" s="232"/>
      <c r="N1207" s="195"/>
      <c r="O1207" s="615">
        <f t="shared" si="169"/>
        <v>360</v>
      </c>
      <c r="P1207" s="195" t="e">
        <f t="shared" si="166"/>
        <v>#DIV/0!</v>
      </c>
      <c r="Q1207" s="195"/>
      <c r="R1207" s="195"/>
      <c r="S1207" s="327" t="e">
        <f t="shared" si="162"/>
        <v>#DIV/0!</v>
      </c>
      <c r="T1207" s="327" t="e">
        <f t="shared" si="167"/>
        <v>#DIV/0!</v>
      </c>
      <c r="U1207" s="195"/>
      <c r="V1207" s="197"/>
      <c r="W1207" s="185"/>
      <c r="X1207" s="141"/>
      <c r="Z1207" s="187"/>
      <c r="AA1207" s="187"/>
    </row>
    <row r="1208" spans="1:27" s="186" customFormat="1" ht="15" customHeight="1">
      <c r="A1208" s="215"/>
      <c r="B1208" s="213" t="s">
        <v>1003</v>
      </c>
      <c r="C1208" s="298">
        <f t="shared" si="163"/>
        <v>0</v>
      </c>
      <c r="D1208" s="630">
        <f t="shared" ref="D1208:H1208" si="210">D1207</f>
        <v>0</v>
      </c>
      <c r="E1208" s="629">
        <f t="shared" si="210"/>
        <v>0</v>
      </c>
      <c r="F1208" s="629">
        <f t="shared" si="210"/>
        <v>0</v>
      </c>
      <c r="G1208" s="629">
        <f t="shared" si="210"/>
        <v>0</v>
      </c>
      <c r="H1208" s="629">
        <f t="shared" si="210"/>
        <v>0</v>
      </c>
      <c r="I1208" s="630">
        <f t="shared" si="200"/>
        <v>0</v>
      </c>
      <c r="J1208" s="196"/>
      <c r="K1208" s="232" t="e">
        <f t="shared" si="161"/>
        <v>#DIV/0!</v>
      </c>
      <c r="L1208" s="232"/>
      <c r="M1208" s="232"/>
      <c r="N1208" s="195"/>
      <c r="O1208" s="615">
        <f t="shared" si="169"/>
        <v>360</v>
      </c>
      <c r="P1208" s="195" t="e">
        <f t="shared" si="166"/>
        <v>#DIV/0!</v>
      </c>
      <c r="Q1208" s="195"/>
      <c r="R1208" s="195"/>
      <c r="S1208" s="327" t="e">
        <f t="shared" si="162"/>
        <v>#DIV/0!</v>
      </c>
      <c r="T1208" s="327" t="e">
        <f t="shared" si="167"/>
        <v>#DIV/0!</v>
      </c>
      <c r="U1208" s="195"/>
      <c r="V1208" s="197"/>
      <c r="W1208" s="185"/>
      <c r="X1208" s="141"/>
      <c r="Z1208" s="187"/>
      <c r="AA1208" s="187"/>
    </row>
    <row r="1209" spans="1:27" s="186" customFormat="1" ht="15" customHeight="1">
      <c r="A1209" s="215"/>
      <c r="B1209" s="213" t="s">
        <v>1004</v>
      </c>
      <c r="C1209" s="298">
        <f t="shared" si="163"/>
        <v>0</v>
      </c>
      <c r="D1209" s="630">
        <f t="shared" ref="D1209:H1209" si="211">D1208</f>
        <v>0</v>
      </c>
      <c r="E1209" s="629">
        <f t="shared" si="211"/>
        <v>0</v>
      </c>
      <c r="F1209" s="629">
        <f t="shared" si="211"/>
        <v>0</v>
      </c>
      <c r="G1209" s="629">
        <f t="shared" si="211"/>
        <v>0</v>
      </c>
      <c r="H1209" s="629">
        <f t="shared" si="211"/>
        <v>0</v>
      </c>
      <c r="I1209" s="630">
        <f t="shared" si="200"/>
        <v>0</v>
      </c>
      <c r="J1209" s="196"/>
      <c r="K1209" s="232" t="e">
        <f t="shared" si="161"/>
        <v>#DIV/0!</v>
      </c>
      <c r="L1209" s="232"/>
      <c r="M1209" s="232"/>
      <c r="N1209" s="195"/>
      <c r="O1209" s="615">
        <f t="shared" si="169"/>
        <v>360</v>
      </c>
      <c r="P1209" s="195" t="e">
        <f t="shared" si="166"/>
        <v>#DIV/0!</v>
      </c>
      <c r="Q1209" s="195"/>
      <c r="R1209" s="195"/>
      <c r="S1209" s="327" t="e">
        <f t="shared" si="162"/>
        <v>#DIV/0!</v>
      </c>
      <c r="T1209" s="327" t="e">
        <f t="shared" si="167"/>
        <v>#DIV/0!</v>
      </c>
      <c r="U1209" s="195"/>
      <c r="V1209" s="197"/>
      <c r="W1209" s="185"/>
      <c r="X1209" s="141"/>
      <c r="Z1209" s="187"/>
      <c r="AA1209" s="187"/>
    </row>
    <row r="1210" spans="1:27" s="186" customFormat="1" ht="15" customHeight="1">
      <c r="A1210" s="215"/>
      <c r="B1210" s="213" t="s">
        <v>1005</v>
      </c>
      <c r="C1210" s="298">
        <f t="shared" si="163"/>
        <v>0</v>
      </c>
      <c r="D1210" s="630">
        <f t="shared" ref="D1210:H1210" si="212">D1209</f>
        <v>0</v>
      </c>
      <c r="E1210" s="629">
        <f t="shared" si="212"/>
        <v>0</v>
      </c>
      <c r="F1210" s="629">
        <f t="shared" si="212"/>
        <v>0</v>
      </c>
      <c r="G1210" s="629">
        <f t="shared" si="212"/>
        <v>0</v>
      </c>
      <c r="H1210" s="629">
        <f t="shared" si="212"/>
        <v>0</v>
      </c>
      <c r="I1210" s="630">
        <f t="shared" si="200"/>
        <v>0</v>
      </c>
      <c r="J1210" s="196"/>
      <c r="K1210" s="232" t="e">
        <f t="shared" si="161"/>
        <v>#DIV/0!</v>
      </c>
      <c r="L1210" s="232"/>
      <c r="M1210" s="232"/>
      <c r="N1210" s="195"/>
      <c r="O1210" s="615">
        <f t="shared" si="169"/>
        <v>360</v>
      </c>
      <c r="P1210" s="195" t="e">
        <f t="shared" si="166"/>
        <v>#DIV/0!</v>
      </c>
      <c r="Q1210" s="195"/>
      <c r="R1210" s="195"/>
      <c r="S1210" s="327" t="e">
        <f t="shared" si="162"/>
        <v>#DIV/0!</v>
      </c>
      <c r="T1210" s="327" t="e">
        <f t="shared" si="167"/>
        <v>#DIV/0!</v>
      </c>
      <c r="U1210" s="195"/>
      <c r="V1210" s="197"/>
      <c r="W1210" s="185"/>
      <c r="X1210" s="141"/>
      <c r="Z1210" s="187"/>
      <c r="AA1210" s="187"/>
    </row>
    <row r="1211" spans="1:27" s="186" customFormat="1" ht="15" customHeight="1">
      <c r="A1211" s="215"/>
      <c r="B1211" s="213" t="s">
        <v>1006</v>
      </c>
      <c r="C1211" s="298">
        <f t="shared" si="163"/>
        <v>0</v>
      </c>
      <c r="D1211" s="630">
        <f t="shared" ref="D1211:H1211" si="213">D1210</f>
        <v>0</v>
      </c>
      <c r="E1211" s="629">
        <f t="shared" si="213"/>
        <v>0</v>
      </c>
      <c r="F1211" s="629">
        <f t="shared" si="213"/>
        <v>0</v>
      </c>
      <c r="G1211" s="629">
        <f t="shared" si="213"/>
        <v>0</v>
      </c>
      <c r="H1211" s="629">
        <f t="shared" si="213"/>
        <v>0</v>
      </c>
      <c r="I1211" s="630">
        <f t="shared" si="200"/>
        <v>0</v>
      </c>
      <c r="J1211" s="196"/>
      <c r="K1211" s="232" t="e">
        <f t="shared" si="161"/>
        <v>#DIV/0!</v>
      </c>
      <c r="L1211" s="232"/>
      <c r="M1211" s="232"/>
      <c r="N1211" s="195"/>
      <c r="O1211" s="615">
        <f t="shared" si="169"/>
        <v>360</v>
      </c>
      <c r="P1211" s="195" t="e">
        <f t="shared" si="166"/>
        <v>#DIV/0!</v>
      </c>
      <c r="Q1211" s="195"/>
      <c r="R1211" s="195"/>
      <c r="S1211" s="327" t="e">
        <f t="shared" si="162"/>
        <v>#DIV/0!</v>
      </c>
      <c r="T1211" s="327" t="e">
        <f t="shared" si="167"/>
        <v>#DIV/0!</v>
      </c>
      <c r="U1211" s="195"/>
      <c r="V1211" s="197"/>
      <c r="W1211" s="185"/>
      <c r="X1211" s="141"/>
      <c r="Z1211" s="187"/>
      <c r="AA1211" s="187"/>
    </row>
    <row r="1212" spans="1:27" s="186" customFormat="1" ht="15" customHeight="1">
      <c r="A1212" s="215"/>
      <c r="B1212" s="213" t="s">
        <v>1007</v>
      </c>
      <c r="C1212" s="298">
        <f t="shared" si="163"/>
        <v>0</v>
      </c>
      <c r="D1212" s="630">
        <f t="shared" ref="D1212:H1212" si="214">D1211</f>
        <v>0</v>
      </c>
      <c r="E1212" s="629">
        <f t="shared" si="214"/>
        <v>0</v>
      </c>
      <c r="F1212" s="629">
        <f t="shared" si="214"/>
        <v>0</v>
      </c>
      <c r="G1212" s="629">
        <f t="shared" si="214"/>
        <v>0</v>
      </c>
      <c r="H1212" s="629">
        <f t="shared" si="214"/>
        <v>0</v>
      </c>
      <c r="I1212" s="630">
        <f t="shared" si="200"/>
        <v>0</v>
      </c>
      <c r="J1212" s="196"/>
      <c r="K1212" s="232" t="e">
        <f t="shared" si="161"/>
        <v>#DIV/0!</v>
      </c>
      <c r="L1212" s="232"/>
      <c r="M1212" s="232"/>
      <c r="N1212" s="195"/>
      <c r="O1212" s="615">
        <f t="shared" si="169"/>
        <v>360</v>
      </c>
      <c r="P1212" s="195" t="e">
        <f t="shared" si="166"/>
        <v>#DIV/0!</v>
      </c>
      <c r="Q1212" s="195"/>
      <c r="R1212" s="195"/>
      <c r="S1212" s="327" t="e">
        <f t="shared" si="162"/>
        <v>#DIV/0!</v>
      </c>
      <c r="T1212" s="327" t="e">
        <f t="shared" si="167"/>
        <v>#DIV/0!</v>
      </c>
      <c r="U1212" s="195"/>
      <c r="V1212" s="197"/>
      <c r="W1212" s="185"/>
      <c r="X1212" s="141"/>
      <c r="Z1212" s="187"/>
      <c r="AA1212" s="187"/>
    </row>
    <row r="1213" spans="1:27" s="186" customFormat="1" ht="15" customHeight="1">
      <c r="A1213" s="215"/>
      <c r="B1213" s="213" t="s">
        <v>1008</v>
      </c>
      <c r="C1213" s="298">
        <f t="shared" si="163"/>
        <v>0</v>
      </c>
      <c r="D1213" s="630">
        <f t="shared" ref="D1213:H1213" si="215">D1212</f>
        <v>0</v>
      </c>
      <c r="E1213" s="629">
        <f t="shared" si="215"/>
        <v>0</v>
      </c>
      <c r="F1213" s="629">
        <f t="shared" si="215"/>
        <v>0</v>
      </c>
      <c r="G1213" s="629">
        <f t="shared" si="215"/>
        <v>0</v>
      </c>
      <c r="H1213" s="629">
        <f t="shared" si="215"/>
        <v>0</v>
      </c>
      <c r="I1213" s="630">
        <f t="shared" si="200"/>
        <v>0</v>
      </c>
      <c r="J1213" s="196"/>
      <c r="K1213" s="232" t="e">
        <f t="shared" si="161"/>
        <v>#DIV/0!</v>
      </c>
      <c r="L1213" s="232"/>
      <c r="M1213" s="232"/>
      <c r="N1213" s="195"/>
      <c r="O1213" s="615">
        <f t="shared" si="169"/>
        <v>360</v>
      </c>
      <c r="P1213" s="195" t="e">
        <f t="shared" si="166"/>
        <v>#DIV/0!</v>
      </c>
      <c r="Q1213" s="195"/>
      <c r="R1213" s="195"/>
      <c r="S1213" s="327" t="e">
        <f t="shared" si="162"/>
        <v>#DIV/0!</v>
      </c>
      <c r="T1213" s="327" t="e">
        <f t="shared" si="167"/>
        <v>#DIV/0!</v>
      </c>
      <c r="U1213" s="195"/>
      <c r="V1213" s="197"/>
      <c r="W1213" s="185"/>
      <c r="X1213" s="141"/>
      <c r="Z1213" s="187"/>
      <c r="AA1213" s="187"/>
    </row>
    <row r="1214" spans="1:27" s="186" customFormat="1" ht="15" customHeight="1" thickBot="1">
      <c r="A1214" s="215"/>
      <c r="B1214" s="213" t="s">
        <v>1009</v>
      </c>
      <c r="C1214" s="298">
        <f t="shared" si="163"/>
        <v>0</v>
      </c>
      <c r="D1214" s="630">
        <f t="shared" ref="D1214:I1214" si="216">D1213</f>
        <v>0</v>
      </c>
      <c r="E1214" s="629">
        <f t="shared" si="216"/>
        <v>0</v>
      </c>
      <c r="F1214" s="629">
        <f t="shared" si="216"/>
        <v>0</v>
      </c>
      <c r="G1214" s="629">
        <f t="shared" si="216"/>
        <v>0</v>
      </c>
      <c r="H1214" s="629">
        <f t="shared" si="216"/>
        <v>0</v>
      </c>
      <c r="I1214" s="630">
        <f t="shared" si="216"/>
        <v>0</v>
      </c>
      <c r="J1214" s="196"/>
      <c r="K1214" s="232" t="e">
        <f t="shared" si="161"/>
        <v>#DIV/0!</v>
      </c>
      <c r="L1214" s="232"/>
      <c r="M1214" s="232"/>
      <c r="N1214" s="195"/>
      <c r="O1214" s="616">
        <f t="shared" si="169"/>
        <v>360</v>
      </c>
      <c r="P1214" s="195" t="e">
        <f>ROUNDUP(K1214/360*O1214,0)</f>
        <v>#DIV/0!</v>
      </c>
      <c r="Q1214" s="195"/>
      <c r="R1214" s="195"/>
      <c r="S1214" s="327" t="e">
        <f t="shared" si="162"/>
        <v>#DIV/0!</v>
      </c>
      <c r="T1214" s="327" t="e">
        <f t="shared" si="167"/>
        <v>#DIV/0!</v>
      </c>
      <c r="U1214" s="195"/>
      <c r="V1214" s="197"/>
      <c r="W1214" s="185"/>
      <c r="X1214" s="141"/>
      <c r="Z1214" s="187"/>
      <c r="AA1214" s="187"/>
    </row>
    <row r="1215" spans="1:27" s="186" customFormat="1" ht="15" customHeight="1">
      <c r="A1215" s="215"/>
      <c r="B1215" s="210"/>
      <c r="C1215" s="298"/>
      <c r="D1215" s="195"/>
      <c r="E1215" s="135"/>
      <c r="F1215" s="135"/>
      <c r="G1215" s="135"/>
      <c r="H1215" s="135"/>
      <c r="I1215" s="232"/>
      <c r="J1215" s="232"/>
      <c r="K1215" s="232"/>
      <c r="L1215" s="232"/>
      <c r="M1215" s="232"/>
      <c r="N1215" s="195"/>
      <c r="O1215" s="144"/>
      <c r="P1215" s="195"/>
      <c r="Q1215" s="195"/>
      <c r="R1215" s="195"/>
      <c r="S1215" s="195"/>
      <c r="T1215" s="195"/>
      <c r="U1215" s="195"/>
      <c r="V1215" s="197"/>
      <c r="W1215" s="185"/>
      <c r="X1215" s="141"/>
      <c r="Z1215" s="187"/>
      <c r="AA1215" s="187"/>
    </row>
    <row r="1216" spans="1:27" s="186" customFormat="1" ht="15" customHeight="1" thickBot="1">
      <c r="A1216" s="215"/>
      <c r="B1216" s="279" t="s">
        <v>1010</v>
      </c>
      <c r="C1216" s="280"/>
      <c r="D1216" s="281"/>
      <c r="E1216" s="281"/>
      <c r="F1216" s="281"/>
      <c r="G1216" s="281"/>
      <c r="H1216" s="281"/>
      <c r="I1216" s="281"/>
      <c r="J1216" s="282"/>
      <c r="K1216" s="282"/>
      <c r="L1216" s="283"/>
      <c r="M1216" s="281"/>
      <c r="N1216" s="281"/>
      <c r="O1216" s="281"/>
      <c r="P1216" s="281"/>
      <c r="Q1216" s="281"/>
      <c r="R1216" s="281"/>
      <c r="S1216" s="284"/>
      <c r="T1216" s="281"/>
      <c r="U1216" s="281" t="s">
        <v>678</v>
      </c>
      <c r="V1216" s="285" t="s">
        <v>27</v>
      </c>
      <c r="W1216" s="286"/>
      <c r="X1216" s="287"/>
      <c r="Z1216" s="187"/>
      <c r="AA1216" s="187"/>
    </row>
    <row r="1217" spans="1:27" s="186" customFormat="1" ht="15" customHeight="1" thickBot="1">
      <c r="A1217" s="215"/>
      <c r="B1217" s="210"/>
      <c r="C1217" s="133">
        <f>SUMIF(Densidades!A:A,'Memória TOTAL'!X1217,Densidades!B:B)</f>
        <v>0</v>
      </c>
      <c r="D1217" s="134">
        <f>SUMIF(Densidades!A:A,'Memória TOTAL'!X1217,Densidades!C:C)</f>
        <v>0</v>
      </c>
      <c r="E1217" s="134" t="str">
        <f>IF(I1217=15,"FIRECLAY MORTAR",IF(I1217=16,"ALUMINA MORTAR",IF(I1217=17,"BASIC MORTAR",IF(I1217=18,"MORTAR","-"))))</f>
        <v>-</v>
      </c>
      <c r="F1217" s="134" t="str">
        <f>IF(I1217=15,"FIRECLAY MORTAR",IF(I1217=16,"ALUMINA MORTAR",IF(I1217=17,"BASIC MORTAR",IF(I1217=18,"MORTAR","-"))))</f>
        <v>-</v>
      </c>
      <c r="G1217" s="134" t="str">
        <f>IF(I1217=15,"FIRECLAY MORTAR",IF(I1217=16,"ALUMINA MORTAR",IF(I1217=17,"BASIC MORTAR",IF(I1217=18,"MORTAR","-"))))</f>
        <v>-</v>
      </c>
      <c r="H1217" s="134" t="str">
        <f>IF(I1217=15,"FIRECLAY MORTAR",IF(I1217=16,"ALUMINA MORTAR",IF(I1217=17,"BASIC MORTAR",IF(I1217=18,"MORTAR","-"))))</f>
        <v>-</v>
      </c>
      <c r="I1217" s="134">
        <f>SUMIF(Densidades!A:A,'Memória TOTAL'!X1217,Densidades!G:G)</f>
        <v>0</v>
      </c>
      <c r="J1217" s="136">
        <f>SUMIF(Formatos!A:A,'Memória TOTAL'!X1218,Formatos!G:G)</f>
        <v>0</v>
      </c>
      <c r="K1217" s="137">
        <f>SUMIF(Densidades!A:A,'Memória TOTAL'!X1217,Densidades!I:I)</f>
        <v>0</v>
      </c>
      <c r="L1217" s="188">
        <v>0</v>
      </c>
      <c r="M1217" s="189"/>
      <c r="N1217" s="189"/>
      <c r="O1217" s="189"/>
      <c r="P1217" s="189"/>
      <c r="Q1217" s="189"/>
      <c r="R1217" s="189"/>
      <c r="S1217" s="189"/>
      <c r="T1217" s="190"/>
      <c r="U1217" s="290">
        <v>0.06</v>
      </c>
      <c r="V1217" s="192" t="e">
        <f>(W1154*J1154*C1217+W1158*J1158*C1217)*U1217</f>
        <v>#VALUE!</v>
      </c>
      <c r="W1217" s="193" t="str">
        <f>IF(C1217=0,"",ROUNDUP(SUM(V1217:V1218)*(1+L1217)/D1217,2)*D1217)</f>
        <v/>
      </c>
      <c r="X1217" s="263"/>
      <c r="Z1217" s="187"/>
      <c r="AA1217" s="187"/>
    </row>
    <row r="1218" spans="1:27" s="186" customFormat="1" ht="15" customHeight="1">
      <c r="A1218" s="215"/>
      <c r="B1218" s="210"/>
      <c r="C1218" s="133"/>
      <c r="D1218" s="195"/>
      <c r="E1218" s="195"/>
      <c r="F1218" s="195"/>
      <c r="G1218" s="195"/>
      <c r="H1218" s="195"/>
      <c r="I1218" s="195"/>
      <c r="J1218" s="196"/>
      <c r="K1218" s="196"/>
      <c r="L1218" s="144"/>
      <c r="M1218" s="195"/>
      <c r="N1218" s="195"/>
      <c r="O1218" s="195"/>
      <c r="P1218" s="195"/>
      <c r="Q1218" s="195"/>
      <c r="R1218" s="195"/>
      <c r="S1218" s="195"/>
      <c r="T1218" s="195"/>
      <c r="U1218" s="195"/>
      <c r="V1218" s="197"/>
      <c r="W1218" s="185"/>
      <c r="X1218" s="141" t="str">
        <f>IF(AND(H1217="-",G1217="-",F1217="-"),E1217,IF(AND(H1217="-",G1217="-",E1217="-"),F1217,IF(AND(H1217="-",F1217="-",E1217="-"),G1217,H1217)))</f>
        <v>-</v>
      </c>
      <c r="Z1218" s="187"/>
      <c r="AA1218" s="187"/>
    </row>
    <row r="1219" spans="1:27" s="186" customFormat="1" ht="15" customHeight="1">
      <c r="A1219" s="215"/>
      <c r="B1219" s="213"/>
      <c r="C1219" s="133"/>
      <c r="D1219" s="195"/>
      <c r="E1219" s="195"/>
      <c r="F1219" s="195"/>
      <c r="G1219" s="195"/>
      <c r="H1219" s="195"/>
      <c r="I1219" s="195"/>
      <c r="J1219" s="196"/>
      <c r="K1219" s="196"/>
      <c r="L1219" s="144"/>
      <c r="M1219" s="195"/>
      <c r="N1219" s="195"/>
      <c r="O1219" s="195"/>
      <c r="P1219" s="195"/>
      <c r="Q1219" s="195"/>
      <c r="R1219" s="195"/>
      <c r="S1219" s="195"/>
      <c r="T1219" s="195"/>
      <c r="U1219" s="195"/>
      <c r="V1219" s="197"/>
      <c r="W1219" s="185"/>
      <c r="X1219" s="141" t="s">
        <v>2</v>
      </c>
      <c r="Z1219" s="187"/>
      <c r="AA1219" s="187"/>
    </row>
    <row r="1220" spans="1:27" ht="15" customHeight="1">
      <c r="A1220" s="215"/>
      <c r="B1220" s="131"/>
      <c r="C1220" s="169"/>
      <c r="D1220" s="170"/>
      <c r="E1220" s="170"/>
      <c r="F1220" s="170"/>
      <c r="G1220" s="170"/>
      <c r="H1220" s="170"/>
      <c r="I1220" s="170"/>
      <c r="J1220" s="171"/>
      <c r="K1220" s="171"/>
      <c r="L1220" s="172"/>
      <c r="M1220" s="170"/>
      <c r="N1220" s="170"/>
      <c r="O1220" s="170"/>
      <c r="P1220" s="170"/>
      <c r="Q1220" s="170"/>
      <c r="R1220" s="170"/>
      <c r="S1220" s="170"/>
      <c r="T1220" s="170"/>
      <c r="U1220" s="170"/>
      <c r="V1220" s="173"/>
      <c r="W1220" s="174"/>
      <c r="X1220" s="175"/>
    </row>
    <row r="1221" spans="1:27" s="186" customFormat="1" ht="15" customHeight="1" thickBot="1">
      <c r="A1221" s="215"/>
      <c r="B1221" s="279" t="s">
        <v>1011</v>
      </c>
      <c r="C1221" s="280"/>
      <c r="D1221" s="281"/>
      <c r="E1221" s="281"/>
      <c r="F1221" s="281"/>
      <c r="G1221" s="281"/>
      <c r="H1221" s="281"/>
      <c r="I1221" s="281"/>
      <c r="J1221" s="282"/>
      <c r="K1221" s="282"/>
      <c r="L1221" s="283"/>
      <c r="M1221" s="281"/>
      <c r="N1221" s="281"/>
      <c r="O1221" s="281"/>
      <c r="P1221" s="281"/>
      <c r="Q1221" s="281"/>
      <c r="R1221" s="281" t="s">
        <v>636</v>
      </c>
      <c r="S1221" s="284" t="s">
        <v>637</v>
      </c>
      <c r="T1221" s="281" t="s">
        <v>638</v>
      </c>
      <c r="U1221" s="281" t="s">
        <v>38</v>
      </c>
      <c r="V1221" s="285" t="s">
        <v>27</v>
      </c>
      <c r="W1221" s="286"/>
      <c r="X1221" s="287"/>
      <c r="Z1221" s="187"/>
      <c r="AA1221" s="187"/>
    </row>
    <row r="1222" spans="1:27" s="186" customFormat="1" ht="15" customHeight="1" thickBot="1">
      <c r="A1222" s="215"/>
      <c r="B1222" s="210"/>
      <c r="C1222" s="133">
        <f>SUMIF(Densidades!A:A,'Memória TOTAL'!X1222,Densidades!B:B)</f>
        <v>0</v>
      </c>
      <c r="D1222" s="134">
        <f>SUMIF(Densidades!A:A,'Memória TOTAL'!X1222,Densidades!C:C)</f>
        <v>0</v>
      </c>
      <c r="E1222" s="134" t="str">
        <f>IF(I1222=15,"FIRECLAY MORTAR",IF(I1222=16,"ALUMINA MORTAR",IF(I1222=17,"BASIC MORTAR",IF(I1222=18,"MORTAR","-"))))</f>
        <v>-</v>
      </c>
      <c r="F1222" s="134" t="str">
        <f>IF(I1222=15,"FIRECLAY MORTAR",IF(I1222=16,"ALUMINA MORTAR",IF(I1222=17,"BASIC MORTAR",IF(I1222=18,"MORTAR","-"))))</f>
        <v>-</v>
      </c>
      <c r="G1222" s="134" t="str">
        <f>IF(I1222=15,"FIRECLAY MORTAR",IF(I1222=16,"ALUMINA MORTAR",IF(I1222=17,"BASIC MORTAR",IF(I1222=18,"MORTAR","-"))))</f>
        <v>-</v>
      </c>
      <c r="H1222" s="134" t="str">
        <f>IF(I1222=15,"FIRECLAY MORTAR",IF(I1222=16,"ALUMINA MORTAR",IF(I1222=17,"BASIC MORTAR",IF(I1222=18,"MORTAR","-"))))</f>
        <v>-</v>
      </c>
      <c r="I1222" s="134">
        <f>SUMIF(Densidades!A:A,'Memória TOTAL'!X1222,Densidades!G:G)</f>
        <v>0</v>
      </c>
      <c r="J1222" s="136">
        <f>SUMIF(Formatos!A:A,'Memória TOTAL'!X1223,Formatos!G:G)</f>
        <v>0</v>
      </c>
      <c r="K1222" s="222">
        <f>SUMIF(Densidades!A:A,'Memória TOTAL'!X1222,Densidades!I:I)</f>
        <v>0</v>
      </c>
      <c r="L1222" s="188">
        <v>0</v>
      </c>
      <c r="M1222" s="189"/>
      <c r="N1222" s="189"/>
      <c r="O1222" s="189"/>
      <c r="P1222" s="189"/>
      <c r="Q1222" s="189"/>
      <c r="R1222" s="190">
        <f>((G1154*H1154)+(G1154*E1154)+(H1154*E1154))/1000000</f>
        <v>0</v>
      </c>
      <c r="S1222" s="259">
        <v>2</v>
      </c>
      <c r="T1222" s="190">
        <f>R1222*S1222</f>
        <v>0</v>
      </c>
      <c r="U1222" s="191" t="e">
        <f>SUM(W1154:W1159)</f>
        <v>#VALUE!</v>
      </c>
      <c r="V1222" s="192" t="e">
        <f>(T1222*C1222*(1+L1222))*U1222</f>
        <v>#VALUE!</v>
      </c>
      <c r="W1222" s="140" t="str">
        <f>IF(C1222=0,"",ROUNDUP(SUM(V1222:V1223)*(1+L1222)/D1222,2)*D1222)</f>
        <v/>
      </c>
      <c r="X1222" s="263"/>
      <c r="Z1222" s="187"/>
      <c r="AA1222" s="187"/>
    </row>
    <row r="1223" spans="1:27" s="186" customFormat="1" ht="15" customHeight="1">
      <c r="A1223" s="215"/>
      <c r="B1223" s="210"/>
      <c r="C1223" s="133"/>
      <c r="D1223" s="195"/>
      <c r="E1223" s="195"/>
      <c r="F1223" s="195"/>
      <c r="G1223" s="195"/>
      <c r="H1223" s="195"/>
      <c r="I1223" s="195"/>
      <c r="J1223" s="196"/>
      <c r="K1223" s="196"/>
      <c r="L1223" s="144"/>
      <c r="M1223" s="195"/>
      <c r="N1223" s="195"/>
      <c r="O1223" s="195"/>
      <c r="P1223" s="195"/>
      <c r="Q1223" s="195"/>
      <c r="R1223" s="195"/>
      <c r="S1223" s="195"/>
      <c r="T1223" s="195"/>
      <c r="U1223" s="195"/>
      <c r="V1223" s="197"/>
      <c r="W1223" s="185"/>
      <c r="X1223" s="141" t="str">
        <f>IF(AND(H1222="-",G1222="-",F1222="-"),E1222,IF(AND(H1222="-",G1222="-",E1222="-"),F1222,IF(AND(H1222="-",F1222="-",E1222="-"),G1222,H1222)))</f>
        <v>-</v>
      </c>
      <c r="Z1223" s="187"/>
      <c r="AA1223" s="187"/>
    </row>
    <row r="1224" spans="1:27" s="186" customFormat="1" ht="15" customHeight="1">
      <c r="A1224" s="215"/>
      <c r="B1224" s="213"/>
      <c r="C1224" s="133"/>
      <c r="D1224" s="195"/>
      <c r="E1224" s="195"/>
      <c r="F1224" s="195"/>
      <c r="G1224" s="195"/>
      <c r="H1224" s="195"/>
      <c r="I1224" s="195"/>
      <c r="J1224" s="196"/>
      <c r="K1224" s="196"/>
      <c r="L1224" s="144"/>
      <c r="M1224" s="195"/>
      <c r="N1224" s="195"/>
      <c r="O1224" s="195"/>
      <c r="P1224" s="195"/>
      <c r="Q1224" s="195"/>
      <c r="R1224" s="195"/>
      <c r="S1224" s="195"/>
      <c r="T1224" s="195"/>
      <c r="U1224" s="195"/>
      <c r="V1224" s="197"/>
      <c r="W1224" s="185"/>
      <c r="X1224" s="141" t="s">
        <v>2</v>
      </c>
      <c r="Z1224" s="187"/>
      <c r="AA1224" s="187"/>
    </row>
    <row r="1225" spans="1:27" s="186" customFormat="1" ht="15" customHeight="1">
      <c r="A1225" s="215"/>
      <c r="B1225" s="210"/>
      <c r="C1225" s="298"/>
      <c r="D1225" s="195"/>
      <c r="E1225" s="195"/>
      <c r="F1225" s="195"/>
      <c r="G1225" s="195"/>
      <c r="H1225" s="195"/>
      <c r="I1225" s="195"/>
      <c r="J1225" s="196"/>
      <c r="K1225" s="196"/>
      <c r="L1225" s="144"/>
      <c r="M1225" s="195"/>
      <c r="N1225" s="195"/>
      <c r="O1225" s="195"/>
      <c r="P1225" s="195"/>
      <c r="Q1225" s="195"/>
      <c r="R1225" s="195"/>
      <c r="S1225" s="195"/>
      <c r="T1225" s="195"/>
      <c r="U1225" s="195"/>
      <c r="V1225" s="197"/>
      <c r="W1225" s="185"/>
      <c r="X1225" s="141"/>
      <c r="Z1225" s="187"/>
      <c r="AA1225" s="187"/>
    </row>
    <row r="1226" spans="1:27" s="186" customFormat="1" ht="15" customHeight="1" thickBot="1">
      <c r="A1226" s="215"/>
      <c r="B1226" s="509"/>
      <c r="C1226" s="509"/>
      <c r="D1226" s="512"/>
      <c r="E1226" s="512"/>
      <c r="F1226" s="512"/>
      <c r="G1226" s="512"/>
      <c r="H1226" s="512"/>
      <c r="I1226" s="512"/>
      <c r="J1226" s="512"/>
      <c r="K1226" s="512"/>
      <c r="L1226" s="512"/>
      <c r="M1226" s="512"/>
      <c r="N1226" s="512"/>
      <c r="O1226" s="512"/>
      <c r="P1226" s="512"/>
      <c r="Q1226" s="512"/>
      <c r="R1226" s="512"/>
      <c r="S1226" s="512"/>
      <c r="T1226" s="512"/>
      <c r="U1226" s="512"/>
      <c r="V1226" s="512"/>
      <c r="W1226" s="512"/>
      <c r="X1226" s="513"/>
      <c r="Z1226" s="187"/>
      <c r="AA1226" s="187"/>
    </row>
    <row r="1227" spans="1:27" ht="15" customHeight="1" thickBot="1">
      <c r="A1227" s="214"/>
      <c r="B1227" s="272" t="str">
        <f>IF(X1228="","BLANKET/FELT/PAPER (pcs)",X1228)</f>
        <v>BLANKET/FELT/PAPER (pcs)</v>
      </c>
      <c r="C1227" s="273" t="s">
        <v>101</v>
      </c>
      <c r="D1227" s="274" t="s">
        <v>102</v>
      </c>
      <c r="E1227" s="274" t="s">
        <v>42</v>
      </c>
      <c r="F1227" s="274" t="s">
        <v>42</v>
      </c>
      <c r="G1227" s="274" t="s">
        <v>43</v>
      </c>
      <c r="H1227" s="274" t="s">
        <v>44</v>
      </c>
      <c r="I1227" s="274" t="s">
        <v>47</v>
      </c>
      <c r="J1227" s="274" t="s">
        <v>103</v>
      </c>
      <c r="K1227" s="274" t="s">
        <v>37</v>
      </c>
      <c r="L1227" s="274" t="s">
        <v>39</v>
      </c>
      <c r="M1227" s="274" t="s">
        <v>41</v>
      </c>
      <c r="N1227" s="274" t="s">
        <v>46</v>
      </c>
      <c r="O1227" s="274"/>
      <c r="P1227" s="274" t="s">
        <v>113</v>
      </c>
      <c r="Q1227" s="274"/>
      <c r="R1227" s="274"/>
      <c r="S1227" s="274" t="s">
        <v>70</v>
      </c>
      <c r="T1227" s="274" t="s">
        <v>26</v>
      </c>
      <c r="U1227" s="274" t="s">
        <v>38</v>
      </c>
      <c r="V1227" s="275" t="s">
        <v>27</v>
      </c>
      <c r="W1227" s="276"/>
      <c r="X1227" s="277"/>
    </row>
    <row r="1228" spans="1:27" ht="15" customHeight="1" thickBot="1">
      <c r="A1228" s="214"/>
      <c r="B1228" s="210"/>
      <c r="C1228" s="133">
        <f>SUMIF(Densidades!A:A,'Memória TOTAL'!X1228,Densidades!B:B)</f>
        <v>0</v>
      </c>
      <c r="D1228" s="134">
        <f>SUMIF(Densidades!A:A,'Memória TOTAL'!X1228,Densidades!C:C)</f>
        <v>0</v>
      </c>
      <c r="E1228" s="135">
        <f>SUMIF(Formatos!A:A,'Memória TOTAL'!X1229,Formatos!E:E)</f>
        <v>0</v>
      </c>
      <c r="F1228" s="135">
        <f>SUMIF(Formatos!A:A,'Memória TOTAL'!X1229,Formatos!F:F)</f>
        <v>0</v>
      </c>
      <c r="G1228" s="135">
        <f>SUMIF(Formatos!A:A,'Memória TOTAL'!X1229,Formatos!C:C)</f>
        <v>0</v>
      </c>
      <c r="H1228" s="135">
        <f>SUMIF(Formatos!A:A,'Memória TOTAL'!X1229,Formatos!D:D)</f>
        <v>0</v>
      </c>
      <c r="I1228" s="135">
        <f>SUMIF(Densidades!A:A,'Memória TOTAL'!X1228,Densidades!H:H)</f>
        <v>0</v>
      </c>
      <c r="J1228" s="136">
        <f>SUMIF(Formatos!A:A,'Memória TOTAL'!X1229,Formatos!G:G)</f>
        <v>0</v>
      </c>
      <c r="K1228" s="137">
        <f>SUMIF(Densidades!A:A,'Memória TOTAL'!X1228,Densidades!I:I)</f>
        <v>0</v>
      </c>
      <c r="L1228" s="138">
        <v>0</v>
      </c>
      <c r="M1228" s="139"/>
      <c r="N1228" s="257"/>
      <c r="O1228" s="139"/>
      <c r="P1228" s="139"/>
      <c r="Q1228" s="139"/>
      <c r="R1228" s="139"/>
      <c r="S1228" s="139"/>
      <c r="T1228" s="139"/>
      <c r="U1228" s="139"/>
      <c r="V1228" s="145"/>
      <c r="W1228" s="193" t="str">
        <f>IF(C1228=0,"",ROUNDUP(SUM(V1230:V1233)*(1+L1228),2))</f>
        <v/>
      </c>
      <c r="X1228" s="263"/>
    </row>
    <row r="1229" spans="1:27" ht="15" customHeight="1" thickBot="1">
      <c r="A1229" s="214"/>
      <c r="B1229" s="211"/>
      <c r="C1229" s="142"/>
      <c r="D1229" s="139"/>
      <c r="E1229" s="135">
        <f t="shared" ref="E1229:K1229" si="217">E1228</f>
        <v>0</v>
      </c>
      <c r="F1229" s="135">
        <f t="shared" si="217"/>
        <v>0</v>
      </c>
      <c r="G1229" s="135">
        <f t="shared" si="217"/>
        <v>0</v>
      </c>
      <c r="H1229" s="135">
        <f t="shared" si="217"/>
        <v>0</v>
      </c>
      <c r="I1229" s="135">
        <f t="shared" si="217"/>
        <v>0</v>
      </c>
      <c r="J1229" s="135">
        <f t="shared" si="217"/>
        <v>0</v>
      </c>
      <c r="K1229" s="137">
        <f t="shared" si="217"/>
        <v>0</v>
      </c>
      <c r="L1229" s="144"/>
      <c r="M1229" s="139"/>
      <c r="N1229" s="135">
        <f>N1228</f>
        <v>0</v>
      </c>
      <c r="O1229" s="139"/>
      <c r="P1229" s="139"/>
      <c r="Q1229" s="139"/>
      <c r="R1229" s="139"/>
      <c r="S1229" s="139"/>
      <c r="T1229" s="139"/>
      <c r="U1229" s="139"/>
      <c r="V1229" s="145"/>
      <c r="W1229" s="146"/>
      <c r="X1229" s="263"/>
    </row>
    <row r="1230" spans="1:27" ht="15" customHeight="1" thickBot="1">
      <c r="A1230" s="214"/>
      <c r="B1230" s="212" t="s">
        <v>71</v>
      </c>
      <c r="C1230" s="142"/>
      <c r="D1230" s="139"/>
      <c r="E1230" s="135">
        <f t="shared" ref="E1230:K1230" si="218">E1229</f>
        <v>0</v>
      </c>
      <c r="F1230" s="135">
        <f t="shared" si="218"/>
        <v>0</v>
      </c>
      <c r="G1230" s="135">
        <f t="shared" si="218"/>
        <v>0</v>
      </c>
      <c r="H1230" s="135">
        <f t="shared" si="218"/>
        <v>0</v>
      </c>
      <c r="I1230" s="135">
        <f t="shared" si="218"/>
        <v>0</v>
      </c>
      <c r="J1230" s="135">
        <f t="shared" si="218"/>
        <v>0</v>
      </c>
      <c r="K1230" s="137">
        <f t="shared" si="218"/>
        <v>0</v>
      </c>
      <c r="L1230" s="144"/>
      <c r="M1230" s="139"/>
      <c r="N1230" s="135">
        <f>N1229</f>
        <v>0</v>
      </c>
      <c r="O1230" s="139"/>
      <c r="P1230" s="139"/>
      <c r="Q1230" s="139"/>
      <c r="R1230" s="139"/>
      <c r="S1230" s="139"/>
      <c r="T1230" s="139"/>
      <c r="U1230" s="195"/>
      <c r="V1230" s="145"/>
      <c r="W1230" s="146"/>
      <c r="X1230" s="147" t="s">
        <v>524</v>
      </c>
    </row>
    <row r="1231" spans="1:27" ht="15" customHeight="1" thickBot="1">
      <c r="A1231" s="214"/>
      <c r="B1231" s="206"/>
      <c r="C1231" s="159"/>
      <c r="D1231" s="160"/>
      <c r="E1231" s="176">
        <f t="shared" ref="E1231:K1231" si="219">E1230</f>
        <v>0</v>
      </c>
      <c r="F1231" s="176">
        <f t="shared" si="219"/>
        <v>0</v>
      </c>
      <c r="G1231" s="176">
        <f t="shared" si="219"/>
        <v>0</v>
      </c>
      <c r="H1231" s="176">
        <f t="shared" si="219"/>
        <v>0</v>
      </c>
      <c r="I1231" s="176">
        <f t="shared" si="219"/>
        <v>0</v>
      </c>
      <c r="J1231" s="176">
        <f t="shared" si="219"/>
        <v>0</v>
      </c>
      <c r="K1231" s="177">
        <f t="shared" si="219"/>
        <v>0</v>
      </c>
      <c r="L1231" s="162"/>
      <c r="M1231" s="160"/>
      <c r="N1231" s="176">
        <f>N1230</f>
        <v>0</v>
      </c>
      <c r="O1231" s="160"/>
      <c r="P1231" s="257"/>
      <c r="Q1231" s="160"/>
      <c r="R1231" s="160"/>
      <c r="S1231" s="257"/>
      <c r="T1231" s="178" t="str">
        <f>IF(S1231="","-",IF(COUNTIF(E1231:H1231,P1231)&lt;1,"Esp. Errada",ROUNDUP(S1231/((G1231+N1231)*(H1231+N1231)*((E1231+N1231)+(F1231+N1231))/2/(P1231+N1231)),0)))</f>
        <v>-</v>
      </c>
      <c r="U1231" s="257"/>
      <c r="V1231" s="179">
        <f>IF(S1231="",0,IF(OR(P1231=E1231,P1231=G1231,P1231=H1231),T1231*U1231,"ESP. ERRADA"))</f>
        <v>0</v>
      </c>
      <c r="W1231" s="180"/>
      <c r="X1231" s="181"/>
    </row>
    <row r="1232" spans="1:27" s="186" customFormat="1" ht="15" customHeight="1" thickBot="1">
      <c r="A1232" s="214"/>
      <c r="B1232" s="206"/>
      <c r="C1232" s="224"/>
      <c r="D1232" s="201"/>
      <c r="E1232" s="176">
        <f t="shared" ref="E1232:K1232" si="220">E1230</f>
        <v>0</v>
      </c>
      <c r="F1232" s="176">
        <f t="shared" si="220"/>
        <v>0</v>
      </c>
      <c r="G1232" s="176">
        <f t="shared" si="220"/>
        <v>0</v>
      </c>
      <c r="H1232" s="176">
        <f t="shared" si="220"/>
        <v>0</v>
      </c>
      <c r="I1232" s="176">
        <f t="shared" si="220"/>
        <v>0</v>
      </c>
      <c r="J1232" s="176">
        <f t="shared" si="220"/>
        <v>0</v>
      </c>
      <c r="K1232" s="225">
        <f t="shared" si="220"/>
        <v>0</v>
      </c>
      <c r="L1232" s="162"/>
      <c r="M1232" s="270"/>
      <c r="N1232" s="176">
        <f>N1230</f>
        <v>0</v>
      </c>
      <c r="O1232" s="201"/>
      <c r="P1232" s="257"/>
      <c r="Q1232" s="201"/>
      <c r="R1232" s="201"/>
      <c r="S1232" s="201"/>
      <c r="T1232" s="227" t="str">
        <f>IF(M1232="","-",IF(COUNTIF(E1232:H1232,P1232)&lt;1,"Esp. Errada",ROUNDUP(M1232/IF(G1232=P1232,G1232,(G1232+N1232))/IF(H1232=P1232,H1232,(H1232+N1232))/IF(E1232=P1232,E1232,(E1232+N1232)),0)))</f>
        <v>-</v>
      </c>
      <c r="U1232" s="257"/>
      <c r="V1232" s="179">
        <f>IF(M1232="",0,IF(OR(P1232=E1232,P1232=G1232,P1232=H1232),T1232*U1232,"ESP. ERRADA"))</f>
        <v>0</v>
      </c>
      <c r="W1232" s="229"/>
      <c r="X1232" s="230"/>
      <c r="Z1232" s="187"/>
      <c r="AA1232" s="187"/>
    </row>
    <row r="1233" spans="1:27" s="186" customFormat="1" ht="15" customHeight="1">
      <c r="A1233" s="215"/>
      <c r="B1233" s="210"/>
      <c r="C1233" s="200"/>
      <c r="D1233" s="195"/>
      <c r="E1233" s="195"/>
      <c r="F1233" s="195"/>
      <c r="G1233" s="195"/>
      <c r="H1233" s="195"/>
      <c r="I1233" s="195"/>
      <c r="J1233" s="196"/>
      <c r="K1233" s="196"/>
      <c r="L1233" s="144"/>
      <c r="M1233" s="195"/>
      <c r="N1233" s="195"/>
      <c r="O1233" s="195"/>
      <c r="P1233" s="195"/>
      <c r="Q1233" s="195"/>
      <c r="R1233" s="195"/>
      <c r="S1233" s="195"/>
      <c r="T1233" s="195"/>
      <c r="U1233" s="195"/>
      <c r="V1233" s="197"/>
      <c r="W1233" s="185"/>
      <c r="X1233" s="141"/>
      <c r="Z1233" s="187"/>
      <c r="AA1233" s="187"/>
    </row>
    <row r="1234" spans="1:27" s="186" customFormat="1" ht="15" customHeight="1" thickBot="1">
      <c r="A1234" s="215"/>
      <c r="B1234" s="509"/>
      <c r="C1234" s="509"/>
      <c r="D1234" s="512"/>
      <c r="E1234" s="512"/>
      <c r="F1234" s="512"/>
      <c r="G1234" s="512"/>
      <c r="H1234" s="512"/>
      <c r="I1234" s="512"/>
      <c r="J1234" s="512"/>
      <c r="K1234" s="512"/>
      <c r="L1234" s="512"/>
      <c r="M1234" s="512"/>
      <c r="N1234" s="512"/>
      <c r="O1234" s="512"/>
      <c r="P1234" s="512"/>
      <c r="Q1234" s="512"/>
      <c r="R1234" s="512"/>
      <c r="S1234" s="512"/>
      <c r="T1234" s="512"/>
      <c r="U1234" s="512"/>
      <c r="V1234" s="512"/>
      <c r="W1234" s="512"/>
      <c r="X1234" s="513"/>
      <c r="Z1234" s="187"/>
      <c r="AA1234" s="187"/>
    </row>
    <row r="1235" spans="1:27" ht="15" customHeight="1" thickBot="1">
      <c r="A1235" s="214"/>
      <c r="B1235" s="272" t="str">
        <f>IF(X1236="","JOINT PANEL (pcs)",X1236)</f>
        <v>JOINT PANEL (pcs)</v>
      </c>
      <c r="C1235" s="273" t="s">
        <v>101</v>
      </c>
      <c r="D1235" s="274" t="s">
        <v>102</v>
      </c>
      <c r="E1235" s="274" t="s">
        <v>42</v>
      </c>
      <c r="F1235" s="274" t="s">
        <v>42</v>
      </c>
      <c r="G1235" s="274" t="s">
        <v>43</v>
      </c>
      <c r="H1235" s="274" t="s">
        <v>44</v>
      </c>
      <c r="I1235" s="274" t="s">
        <v>47</v>
      </c>
      <c r="J1235" s="274" t="s">
        <v>103</v>
      </c>
      <c r="K1235" s="274" t="s">
        <v>37</v>
      </c>
      <c r="L1235" s="274" t="s">
        <v>39</v>
      </c>
      <c r="M1235" s="274"/>
      <c r="N1235" s="274"/>
      <c r="O1235" s="274"/>
      <c r="P1235" s="183" t="s">
        <v>1095</v>
      </c>
      <c r="Q1235" s="274" t="s">
        <v>107</v>
      </c>
      <c r="R1235" s="183" t="s">
        <v>65</v>
      </c>
      <c r="S1235" s="274" t="s">
        <v>70</v>
      </c>
      <c r="T1235" s="274" t="s">
        <v>26</v>
      </c>
      <c r="U1235" s="274" t="s">
        <v>38</v>
      </c>
      <c r="V1235" s="275" t="s">
        <v>27</v>
      </c>
      <c r="W1235" s="276"/>
      <c r="X1235" s="277"/>
    </row>
    <row r="1236" spans="1:27" ht="15" customHeight="1" thickBot="1">
      <c r="A1236" s="214"/>
      <c r="B1236" s="210"/>
      <c r="C1236" s="133">
        <f>SUMIF(Densidades!A:A,'Memória TOTAL'!X1236,Densidades!B:B)</f>
        <v>0</v>
      </c>
      <c r="D1236" s="134">
        <f>SUMIF(Densidades!A:A,'Memória TOTAL'!X1236,Densidades!C:C)</f>
        <v>0</v>
      </c>
      <c r="E1236" s="135">
        <f>SUMIF(Formatos!A:A,'Memória TOTAL'!X1237,Formatos!E:E)</f>
        <v>0</v>
      </c>
      <c r="F1236" s="135">
        <f>SUMIF(Formatos!A:A,'Memória TOTAL'!X1237,Formatos!F:F)</f>
        <v>0</v>
      </c>
      <c r="G1236" s="135">
        <f>SUMIF(Formatos!A:A,'Memória TOTAL'!X1237,Formatos!C:C)</f>
        <v>0</v>
      </c>
      <c r="H1236" s="135">
        <f>SUMIF(Formatos!A:A,'Memória TOTAL'!X1237,Formatos!D:D)</f>
        <v>0</v>
      </c>
      <c r="I1236" s="135">
        <f>SUMIF(Densidades!A:A,'Memória TOTAL'!X1236,Densidades!H:H)</f>
        <v>0</v>
      </c>
      <c r="J1236" s="136">
        <f>SUMIF(Formatos!A:A,'Memória TOTAL'!X1237,Formatos!G:G)</f>
        <v>0</v>
      </c>
      <c r="K1236" s="137">
        <f>SUMIF(Densidades!A:A,'Memória TOTAL'!X1236,Densidades!I:I)</f>
        <v>0</v>
      </c>
      <c r="L1236" s="138">
        <v>0</v>
      </c>
      <c r="M1236" s="139"/>
      <c r="N1236" s="139"/>
      <c r="O1236" s="139"/>
      <c r="P1236" s="139"/>
      <c r="Q1236" s="139"/>
      <c r="R1236" s="139"/>
      <c r="S1236" s="139"/>
      <c r="T1236" s="139"/>
      <c r="U1236" s="139"/>
      <c r="V1236" s="145"/>
      <c r="W1236" s="193" t="str">
        <f>IF(C1236=0,"",ROUNDUP(SUM(V1238:V1240)*(1+L1236),2))</f>
        <v/>
      </c>
      <c r="X1236" s="263"/>
    </row>
    <row r="1237" spans="1:27" ht="15" customHeight="1" thickBot="1">
      <c r="A1237" s="214"/>
      <c r="B1237" s="211"/>
      <c r="C1237" s="142"/>
      <c r="D1237" s="139"/>
      <c r="E1237" s="135">
        <f t="shared" ref="E1237:K1237" si="221">E1236</f>
        <v>0</v>
      </c>
      <c r="F1237" s="135">
        <f t="shared" si="221"/>
        <v>0</v>
      </c>
      <c r="G1237" s="135">
        <f t="shared" si="221"/>
        <v>0</v>
      </c>
      <c r="H1237" s="135">
        <f t="shared" si="221"/>
        <v>0</v>
      </c>
      <c r="I1237" s="135">
        <f t="shared" si="221"/>
        <v>0</v>
      </c>
      <c r="J1237" s="135">
        <f t="shared" si="221"/>
        <v>0</v>
      </c>
      <c r="K1237" s="137">
        <f t="shared" si="221"/>
        <v>0</v>
      </c>
      <c r="L1237" s="144"/>
      <c r="M1237" s="139"/>
      <c r="N1237" s="135"/>
      <c r="O1237" s="139"/>
      <c r="P1237" s="139"/>
      <c r="Q1237" s="139"/>
      <c r="R1237" s="139"/>
      <c r="S1237" s="139"/>
      <c r="T1237" s="139"/>
      <c r="U1237" s="139"/>
      <c r="V1237" s="145"/>
      <c r="W1237" s="146"/>
      <c r="X1237" s="263"/>
    </row>
    <row r="1238" spans="1:27" ht="15" customHeight="1" thickBot="1">
      <c r="A1238" s="214"/>
      <c r="B1238" s="212" t="s">
        <v>71</v>
      </c>
      <c r="C1238" s="142"/>
      <c r="D1238" s="139"/>
      <c r="E1238" s="135">
        <f t="shared" ref="E1238:K1238" si="222">E1237</f>
        <v>0</v>
      </c>
      <c r="F1238" s="135">
        <f t="shared" si="222"/>
        <v>0</v>
      </c>
      <c r="G1238" s="135">
        <f t="shared" si="222"/>
        <v>0</v>
      </c>
      <c r="H1238" s="135">
        <f t="shared" si="222"/>
        <v>0</v>
      </c>
      <c r="I1238" s="135">
        <f t="shared" si="222"/>
        <v>0</v>
      </c>
      <c r="J1238" s="135">
        <f t="shared" si="222"/>
        <v>0</v>
      </c>
      <c r="K1238" s="137">
        <f t="shared" si="222"/>
        <v>0</v>
      </c>
      <c r="L1238" s="144"/>
      <c r="M1238" s="139"/>
      <c r="N1238" s="135"/>
      <c r="O1238" s="139"/>
      <c r="P1238" s="139"/>
      <c r="Q1238" s="139"/>
      <c r="R1238" s="139"/>
      <c r="S1238" s="139"/>
      <c r="T1238" s="139"/>
      <c r="U1238" s="195" t="s">
        <v>673</v>
      </c>
      <c r="V1238" s="145"/>
      <c r="W1238" s="146"/>
      <c r="X1238" s="147" t="s">
        <v>524</v>
      </c>
    </row>
    <row r="1239" spans="1:27" ht="15" customHeight="1" thickBot="1">
      <c r="A1239" s="214"/>
      <c r="B1239" s="206"/>
      <c r="C1239" s="159"/>
      <c r="D1239" s="160"/>
      <c r="E1239" s="176">
        <f t="shared" ref="E1239:K1239" si="223">E1238</f>
        <v>0</v>
      </c>
      <c r="F1239" s="176">
        <f t="shared" si="223"/>
        <v>0</v>
      </c>
      <c r="G1239" s="176">
        <f t="shared" si="223"/>
        <v>0</v>
      </c>
      <c r="H1239" s="176">
        <f t="shared" si="223"/>
        <v>0</v>
      </c>
      <c r="I1239" s="176">
        <f t="shared" si="223"/>
        <v>0</v>
      </c>
      <c r="J1239" s="176">
        <f t="shared" si="223"/>
        <v>0</v>
      </c>
      <c r="K1239" s="177">
        <f t="shared" si="223"/>
        <v>0</v>
      </c>
      <c r="L1239" s="162"/>
      <c r="M1239" s="160"/>
      <c r="N1239" s="176"/>
      <c r="O1239" s="160"/>
      <c r="P1239" s="257"/>
      <c r="Q1239" s="160"/>
      <c r="R1239" s="257"/>
      <c r="S1239" s="257"/>
      <c r="T1239" s="227" t="e">
        <f>ROUNDUP((((S1239/P1239/P1239)*(P1239*2)*R1239)/G1239/H1239),0)</f>
        <v>#DIV/0!</v>
      </c>
      <c r="U1239" s="257"/>
      <c r="V1239" s="179" t="e">
        <f>U1239*T1239</f>
        <v>#DIV/0!</v>
      </c>
      <c r="W1239" s="180"/>
      <c r="X1239" s="181"/>
    </row>
    <row r="1240" spans="1:27" s="186" customFormat="1" ht="15" customHeight="1">
      <c r="A1240" s="215"/>
      <c r="B1240" s="210"/>
      <c r="C1240" s="200"/>
      <c r="D1240" s="195"/>
      <c r="E1240" s="195"/>
      <c r="F1240" s="195"/>
      <c r="G1240" s="195"/>
      <c r="H1240" s="195"/>
      <c r="I1240" s="195"/>
      <c r="J1240" s="196"/>
      <c r="K1240" s="196"/>
      <c r="L1240" s="144"/>
      <c r="M1240" s="195"/>
      <c r="N1240" s="195"/>
      <c r="O1240" s="195"/>
      <c r="P1240" s="195"/>
      <c r="Q1240" s="195"/>
      <c r="R1240" s="195"/>
      <c r="S1240" s="195"/>
      <c r="T1240" s="195"/>
      <c r="U1240" s="195"/>
      <c r="V1240" s="197"/>
      <c r="W1240" s="185"/>
      <c r="X1240" s="141"/>
      <c r="Z1240" s="187"/>
      <c r="AA1240" s="187"/>
    </row>
    <row r="1241" spans="1:27" s="186" customFormat="1" ht="15" customHeight="1" thickBot="1">
      <c r="A1241" s="215"/>
      <c r="B1241" s="509"/>
      <c r="C1241" s="509"/>
      <c r="D1241" s="512"/>
      <c r="E1241" s="512"/>
      <c r="F1241" s="512"/>
      <c r="G1241" s="512"/>
      <c r="H1241" s="512"/>
      <c r="I1241" s="512"/>
      <c r="J1241" s="512"/>
      <c r="K1241" s="512"/>
      <c r="L1241" s="512"/>
      <c r="M1241" s="512"/>
      <c r="N1241" s="512"/>
      <c r="O1241" s="512"/>
      <c r="P1241" s="512"/>
      <c r="Q1241" s="512"/>
      <c r="R1241" s="512"/>
      <c r="S1241" s="512"/>
      <c r="T1241" s="512"/>
      <c r="U1241" s="512"/>
      <c r="V1241" s="512"/>
      <c r="W1241" s="512"/>
      <c r="X1241" s="513"/>
      <c r="Z1241" s="187"/>
      <c r="AA1241" s="187"/>
    </row>
    <row r="1242" spans="1:27" s="186" customFormat="1" ht="15" customHeight="1" thickBot="1">
      <c r="A1242" s="214"/>
      <c r="B1242" s="202" t="str">
        <f>IF(X1243="","FIBRA",X1243)</f>
        <v>CER. FIBER WOOL 96/1260</v>
      </c>
      <c r="C1242" s="219" t="s">
        <v>101</v>
      </c>
      <c r="D1242" s="183" t="s">
        <v>102</v>
      </c>
      <c r="E1242" s="183"/>
      <c r="F1242" s="183"/>
      <c r="G1242" s="183"/>
      <c r="H1242" s="183"/>
      <c r="I1242" s="183"/>
      <c r="J1242" s="183" t="s">
        <v>103</v>
      </c>
      <c r="K1242" s="183" t="s">
        <v>37</v>
      </c>
      <c r="L1242" s="183" t="s">
        <v>39</v>
      </c>
      <c r="M1242" s="183" t="s">
        <v>10</v>
      </c>
      <c r="N1242" s="183"/>
      <c r="O1242" s="183"/>
      <c r="P1242" s="183"/>
      <c r="Q1242" s="183"/>
      <c r="R1242" s="183"/>
      <c r="S1242" s="183"/>
      <c r="T1242" s="183" t="s">
        <v>26</v>
      </c>
      <c r="U1242" s="183" t="s">
        <v>38</v>
      </c>
      <c r="V1242" s="184" t="s">
        <v>27</v>
      </c>
      <c r="W1242" s="220"/>
      <c r="X1242" s="221"/>
      <c r="Z1242" s="187"/>
      <c r="AA1242" s="187"/>
    </row>
    <row r="1243" spans="1:27" s="186" customFormat="1" ht="15" customHeight="1" thickBot="1">
      <c r="A1243" s="214"/>
      <c r="B1243" s="194"/>
      <c r="C1243" s="133">
        <f>SUMIF(Densidades!A:A,'Memória TOTAL'!X1243,Densidades!B:B)</f>
        <v>9.6000000000000002E-2</v>
      </c>
      <c r="D1243" s="134">
        <f>SUMIF(Densidades!A:A,'Memória TOTAL'!X1243,Densidades!C:C)</f>
        <v>1</v>
      </c>
      <c r="E1243" s="134"/>
      <c r="F1243" s="134"/>
      <c r="G1243" s="134"/>
      <c r="H1243" s="134"/>
      <c r="I1243" s="134"/>
      <c r="J1243" s="136">
        <f>SUMIF(Formatos!A:A,'Memória TOTAL'!X1244,Formatos!G:G)</f>
        <v>1</v>
      </c>
      <c r="K1243" s="222">
        <f>SUMIF(Densidades!A:A,'Memória TOTAL'!X1243,Densidades!I:I)</f>
        <v>4</v>
      </c>
      <c r="L1243" s="223">
        <v>0</v>
      </c>
      <c r="M1243" s="195"/>
      <c r="N1243" s="195"/>
      <c r="O1243" s="195"/>
      <c r="P1243" s="195"/>
      <c r="Q1243" s="195"/>
      <c r="R1243" s="195"/>
      <c r="S1243" s="195"/>
      <c r="T1243" s="195"/>
      <c r="U1243" s="195"/>
      <c r="V1243" s="197"/>
      <c r="W1243" s="193">
        <f>IF(C1243=0,"",ROUNDUP(SUM(V1247:V1247)*(1+L1243),2))</f>
        <v>0</v>
      </c>
      <c r="X1243" s="263" t="s">
        <v>1811</v>
      </c>
      <c r="Z1243" s="187"/>
      <c r="AA1243" s="187"/>
    </row>
    <row r="1244" spans="1:27" s="186" customFormat="1" ht="15" customHeight="1" thickBot="1">
      <c r="A1244" s="214"/>
      <c r="B1244" s="194"/>
      <c r="C1244" s="200"/>
      <c r="D1244" s="195"/>
      <c r="E1244" s="195"/>
      <c r="F1244" s="195"/>
      <c r="G1244" s="195"/>
      <c r="H1244" s="195"/>
      <c r="I1244" s="195"/>
      <c r="J1244" s="196"/>
      <c r="K1244" s="196"/>
      <c r="L1244" s="144"/>
      <c r="M1244" s="195"/>
      <c r="N1244" s="195"/>
      <c r="O1244" s="195"/>
      <c r="P1244" s="195"/>
      <c r="Q1244" s="195"/>
      <c r="R1244" s="195"/>
      <c r="S1244" s="195"/>
      <c r="T1244" s="195"/>
      <c r="U1244" s="195"/>
      <c r="V1244" s="197"/>
      <c r="W1244" s="185"/>
      <c r="X1244" s="263" t="s">
        <v>1841</v>
      </c>
      <c r="Z1244" s="187"/>
      <c r="AA1244" s="187"/>
    </row>
    <row r="1245" spans="1:27" s="186" customFormat="1" ht="15" customHeight="1">
      <c r="A1245" s="214"/>
      <c r="B1245" s="194"/>
      <c r="C1245" s="200"/>
      <c r="D1245" s="195"/>
      <c r="E1245" s="195"/>
      <c r="F1245" s="195"/>
      <c r="G1245" s="195"/>
      <c r="H1245" s="195"/>
      <c r="I1245" s="195"/>
      <c r="J1245" s="196"/>
      <c r="K1245" s="196"/>
      <c r="L1245" s="144"/>
      <c r="M1245" s="195"/>
      <c r="N1245" s="195"/>
      <c r="O1245" s="195"/>
      <c r="P1245" s="195"/>
      <c r="Q1245" s="195"/>
      <c r="R1245" s="195"/>
      <c r="S1245" s="195"/>
      <c r="T1245" s="195"/>
      <c r="U1245" s="195"/>
      <c r="V1245" s="197"/>
      <c r="W1245" s="185"/>
      <c r="X1245" s="141" t="s">
        <v>2</v>
      </c>
      <c r="Z1245" s="187"/>
      <c r="AA1245" s="187"/>
    </row>
    <row r="1246" spans="1:27" s="186" customFormat="1" ht="15" customHeight="1" thickBot="1">
      <c r="A1246" s="214"/>
      <c r="B1246" s="168"/>
      <c r="C1246" s="200"/>
      <c r="D1246" s="195"/>
      <c r="E1246" s="195"/>
      <c r="F1246" s="195"/>
      <c r="G1246" s="195"/>
      <c r="H1246" s="195"/>
      <c r="I1246" s="195"/>
      <c r="J1246" s="196"/>
      <c r="K1246" s="196"/>
      <c r="L1246" s="144"/>
      <c r="M1246" s="195"/>
      <c r="N1246" s="195"/>
      <c r="O1246" s="195"/>
      <c r="P1246" s="195"/>
      <c r="Q1246" s="195"/>
      <c r="R1246" s="195"/>
      <c r="S1246" s="195"/>
      <c r="T1246" s="195"/>
      <c r="U1246" s="195"/>
      <c r="V1246" s="197"/>
      <c r="W1246" s="185"/>
      <c r="X1246" s="141"/>
      <c r="Z1246" s="187"/>
      <c r="AA1246" s="187"/>
    </row>
    <row r="1247" spans="1:27" s="186" customFormat="1" ht="15" customHeight="1" thickBot="1">
      <c r="A1247" s="214"/>
      <c r="B1247" s="206"/>
      <c r="C1247" s="198">
        <f>C1243</f>
        <v>9.6000000000000002E-2</v>
      </c>
      <c r="D1247" s="201"/>
      <c r="E1247" s="201"/>
      <c r="F1247" s="201"/>
      <c r="G1247" s="201"/>
      <c r="H1247" s="201"/>
      <c r="I1247" s="201"/>
      <c r="J1247" s="234"/>
      <c r="K1247" s="234"/>
      <c r="L1247" s="237">
        <v>0</v>
      </c>
      <c r="M1247" s="257"/>
      <c r="N1247" s="201"/>
      <c r="O1247" s="201"/>
      <c r="P1247" s="201"/>
      <c r="Q1247" s="201"/>
      <c r="R1247" s="201"/>
      <c r="S1247" s="201"/>
      <c r="T1247" s="227">
        <f>M1247/10^6</f>
        <v>0</v>
      </c>
      <c r="U1247" s="259">
        <v>1</v>
      </c>
      <c r="V1247" s="228">
        <f>ROUNDUP(T1247*C1247*(1+L1247),0)*U1247</f>
        <v>0</v>
      </c>
      <c r="W1247" s="229"/>
      <c r="X1247" s="230"/>
      <c r="Z1247" s="187"/>
      <c r="AA1247" s="187"/>
    </row>
    <row r="1248" spans="1:27" s="186" customFormat="1" ht="15" customHeight="1">
      <c r="A1248" s="214"/>
      <c r="B1248" s="194"/>
      <c r="C1248" s="200"/>
      <c r="D1248" s="195"/>
      <c r="E1248" s="195"/>
      <c r="F1248" s="195"/>
      <c r="G1248" s="195"/>
      <c r="H1248" s="195"/>
      <c r="I1248" s="195"/>
      <c r="J1248" s="196"/>
      <c r="K1248" s="196"/>
      <c r="L1248" s="144"/>
      <c r="M1248" s="195"/>
      <c r="N1248" s="195"/>
      <c r="O1248" s="195"/>
      <c r="P1248" s="195"/>
      <c r="Q1248" s="195"/>
      <c r="R1248" s="195"/>
      <c r="S1248" s="195"/>
      <c r="T1248" s="195"/>
      <c r="U1248" s="195"/>
      <c r="V1248" s="197"/>
      <c r="W1248" s="185"/>
      <c r="X1248" s="141"/>
      <c r="Z1248" s="187"/>
      <c r="AA1248" s="187"/>
    </row>
    <row r="1249" spans="1:27" s="186" customFormat="1" ht="15" customHeight="1" thickBot="1">
      <c r="A1249" s="214"/>
      <c r="B1249" s="509"/>
      <c r="C1249" s="509"/>
      <c r="D1249" s="512"/>
      <c r="E1249" s="512"/>
      <c r="F1249" s="512"/>
      <c r="G1249" s="512"/>
      <c r="H1249" s="512"/>
      <c r="I1249" s="512"/>
      <c r="J1249" s="512"/>
      <c r="K1249" s="512"/>
      <c r="L1249" s="512"/>
      <c r="M1249" s="512"/>
      <c r="N1249" s="512"/>
      <c r="O1249" s="512"/>
      <c r="P1249" s="512"/>
      <c r="Q1249" s="512"/>
      <c r="R1249" s="512"/>
      <c r="S1249" s="512"/>
      <c r="T1249" s="512"/>
      <c r="U1249" s="512"/>
      <c r="V1249" s="512"/>
      <c r="W1249" s="512"/>
      <c r="X1249" s="513"/>
      <c r="Z1249" s="187"/>
      <c r="AA1249" s="187"/>
    </row>
    <row r="1250" spans="1:27" ht="15" customHeight="1" thickBot="1">
      <c r="A1250" s="278"/>
      <c r="B1250" s="272" t="str">
        <f>IF(X1251="","ESPINHA DE PEIXE-FUNDO ESF.",X1251)</f>
        <v>ESPINHA DE PEIXE-FUNDO ESF.</v>
      </c>
      <c r="C1250" s="273" t="s">
        <v>101</v>
      </c>
      <c r="D1250" s="274" t="s">
        <v>102</v>
      </c>
      <c r="E1250" s="274" t="s">
        <v>42</v>
      </c>
      <c r="F1250" s="274" t="s">
        <v>42</v>
      </c>
      <c r="G1250" s="274" t="s">
        <v>43</v>
      </c>
      <c r="H1250" s="274" t="s">
        <v>44</v>
      </c>
      <c r="I1250" s="274" t="s">
        <v>47</v>
      </c>
      <c r="J1250" s="274" t="s">
        <v>103</v>
      </c>
      <c r="K1250" s="274" t="s">
        <v>37</v>
      </c>
      <c r="L1250" s="274" t="s">
        <v>39</v>
      </c>
      <c r="M1250" s="274" t="s">
        <v>45</v>
      </c>
      <c r="N1250" s="274" t="s">
        <v>46</v>
      </c>
      <c r="O1250" s="274" t="s">
        <v>672</v>
      </c>
      <c r="P1250" s="274" t="s">
        <v>51</v>
      </c>
      <c r="Q1250" s="274" t="s">
        <v>52</v>
      </c>
      <c r="R1250" s="296" t="s">
        <v>1012</v>
      </c>
      <c r="S1250" s="274"/>
      <c r="T1250" s="274"/>
      <c r="U1250" s="296" t="s">
        <v>38</v>
      </c>
      <c r="V1250" s="275" t="s">
        <v>27</v>
      </c>
      <c r="W1250" s="276"/>
      <c r="X1250" s="277"/>
    </row>
    <row r="1251" spans="1:27" ht="15" customHeight="1" thickBot="1">
      <c r="A1251" s="244"/>
      <c r="B1251" s="246"/>
      <c r="C1251" s="245">
        <f>SUMIF(Densidades!A:A,'Memória TOTAL'!X1251,Densidades!B:B)</f>
        <v>0</v>
      </c>
      <c r="D1251" s="134">
        <f>SUMIF(Densidades!A:A,'Memória TOTAL'!X1251,Densidades!C:C)</f>
        <v>0</v>
      </c>
      <c r="E1251" s="135">
        <f>IF(AND(E1257=1,E1258=2),SUMIF(Formatos!A:A,'Memória TOTAL'!X1252,Formatos!D:D),SUMIF(Formatos!A:A,'Memória TOTAL'!X1252,Formatos!E:E))</f>
        <v>0</v>
      </c>
      <c r="F1251" s="135">
        <f>IF(AND(E1257=1,E1258=2),SUMIF(Formatos!A:A,'Memória TOTAL'!X1252,Formatos!R:R),SUMIF(Formatos!A:A,'Memória TOTAL'!X1252,Formatos!F:F))</f>
        <v>0</v>
      </c>
      <c r="G1251" s="135">
        <f>SUMIF(Formatos!A:A,'Memória TOTAL'!X1252,Formatos!C:C)</f>
        <v>0</v>
      </c>
      <c r="H1251" s="135">
        <f>SUMIF(Formatos!A:A,'Memória TOTAL'!X1252,Formatos!D:D)</f>
        <v>0</v>
      </c>
      <c r="I1251" s="135">
        <f>SUMIF(Densidades!A:A,'Memória TOTAL'!X1251,Densidades!H:H)</f>
        <v>0</v>
      </c>
      <c r="J1251" s="136">
        <f>SUMIF(Formatos!A:A,'Memória TOTAL'!X1252,Formatos!G:G)</f>
        <v>0</v>
      </c>
      <c r="K1251" s="137">
        <f>SUMIF(Densidades!A:A,'Memória TOTAL'!X1251,Densidades!I:I)</f>
        <v>0</v>
      </c>
      <c r="L1251" s="253">
        <v>0</v>
      </c>
      <c r="M1251" s="256"/>
      <c r="N1251" s="254">
        <v>0</v>
      </c>
      <c r="O1251" s="257"/>
      <c r="P1251" s="255">
        <f>O1251*2</f>
        <v>0</v>
      </c>
      <c r="Q1251" s="139">
        <f>P1251-(2*M1251)</f>
        <v>0</v>
      </c>
      <c r="R1251" s="257"/>
      <c r="S1251" s="260"/>
      <c r="T1251" s="195"/>
      <c r="U1251" s="257"/>
      <c r="V1251" s="256" t="str">
        <f>IF(M1251="","",IF(OR(M1251=E1251,M1251=G1251,M1251=H1251),ROUND(R1258,0),"ESP. ERRADA"))</f>
        <v/>
      </c>
      <c r="W1251" s="262" t="str">
        <f>IFERROR(IF(C1251=0,"",ROUNDUP(SUM(V1251)*(1+L1251),0))*U1251,"")</f>
        <v/>
      </c>
      <c r="X1251" s="263"/>
    </row>
    <row r="1252" spans="1:27" s="186" customFormat="1" ht="15" customHeight="1">
      <c r="A1252" s="215"/>
      <c r="B1252" s="301"/>
      <c r="C1252" s="236"/>
      <c r="D1252" s="195"/>
      <c r="E1252" s="195"/>
      <c r="F1252" s="195"/>
      <c r="G1252" s="195"/>
      <c r="H1252" s="195"/>
      <c r="I1252" s="195"/>
      <c r="J1252" s="196"/>
      <c r="K1252" s="196"/>
      <c r="L1252" s="144"/>
      <c r="M1252" s="195"/>
      <c r="N1252" s="195"/>
      <c r="O1252" s="195"/>
      <c r="P1252" s="195"/>
      <c r="Q1252" s="195"/>
      <c r="R1252" s="195"/>
      <c r="S1252" s="195"/>
      <c r="T1252" s="195"/>
      <c r="U1252" s="195"/>
      <c r="V1252" s="197"/>
      <c r="W1252" s="185"/>
      <c r="X1252" s="141" t="str">
        <f>IF(B1257="","",B1257)</f>
        <v/>
      </c>
      <c r="Z1252" s="187"/>
      <c r="AA1252" s="187"/>
    </row>
    <row r="1253" spans="1:27" s="186" customFormat="1" ht="15" customHeight="1">
      <c r="A1253" s="215"/>
      <c r="B1253" s="301"/>
      <c r="C1253" s="236"/>
      <c r="D1253" s="195"/>
      <c r="E1253" s="195"/>
      <c r="F1253" s="195"/>
      <c r="G1253" s="195"/>
      <c r="H1253" s="195"/>
      <c r="I1253" s="195"/>
      <c r="J1253" s="196"/>
      <c r="K1253" s="196"/>
      <c r="L1253" s="144"/>
      <c r="M1253" s="195"/>
      <c r="N1253" s="195"/>
      <c r="O1253" s="195"/>
      <c r="P1253" s="195"/>
      <c r="Q1253" s="195"/>
      <c r="R1253" s="195"/>
      <c r="S1253" s="195"/>
      <c r="T1253" s="195"/>
      <c r="U1253" s="195"/>
      <c r="V1253" s="197"/>
      <c r="W1253" s="185"/>
      <c r="X1253" s="141" t="s">
        <v>524</v>
      </c>
      <c r="Z1253" s="187"/>
      <c r="AA1253" s="187"/>
    </row>
    <row r="1254" spans="1:27" s="186" customFormat="1" ht="15" customHeight="1" thickBot="1">
      <c r="A1254" s="215"/>
      <c r="B1254" s="301"/>
      <c r="C1254" s="236" t="str">
        <f t="shared" ref="C1254:L1254" si="224">C1250</f>
        <v>Dens.</v>
      </c>
      <c r="D1254" s="195" t="str">
        <f t="shared" si="224"/>
        <v>Emb.</v>
      </c>
      <c r="E1254" s="238" t="str">
        <f t="shared" si="224"/>
        <v>Esp. Tij.</v>
      </c>
      <c r="F1254" s="238" t="str">
        <f t="shared" si="224"/>
        <v>Esp. Tij.</v>
      </c>
      <c r="G1254" s="238" t="str">
        <f t="shared" si="224"/>
        <v>Comp. Tij.</v>
      </c>
      <c r="H1254" s="238" t="str">
        <f t="shared" si="224"/>
        <v>Larg. Tij.</v>
      </c>
      <c r="I1254" s="238" t="str">
        <f t="shared" si="224"/>
        <v>Tipo Fator</v>
      </c>
      <c r="J1254" s="238" t="str">
        <f t="shared" si="224"/>
        <v>Vol.</v>
      </c>
      <c r="K1254" s="238" t="str">
        <f t="shared" si="224"/>
        <v>Class.</v>
      </c>
      <c r="L1254" s="195" t="str">
        <f t="shared" si="224"/>
        <v>Coefic. (%)</v>
      </c>
      <c r="M1254" s="195"/>
      <c r="N1254" s="195"/>
      <c r="O1254" s="195"/>
      <c r="P1254" s="195"/>
      <c r="Q1254" s="195"/>
      <c r="R1254" s="195"/>
      <c r="S1254" s="195"/>
      <c r="T1254" s="195"/>
      <c r="U1254" s="195"/>
      <c r="V1254" s="242"/>
      <c r="W1254" s="185"/>
      <c r="X1254" s="141"/>
      <c r="Z1254" s="187"/>
      <c r="AA1254" s="187"/>
    </row>
    <row r="1255" spans="1:27" s="186" customFormat="1" ht="15" customHeight="1" thickBot="1">
      <c r="A1255" s="215"/>
      <c r="B1255" s="301"/>
      <c r="C1255" s="245">
        <f>SUMIF(Densidades!A:A,'Memória TOTAL'!X1255,Densidades!B:B)</f>
        <v>0</v>
      </c>
      <c r="D1255" s="134">
        <f>SUMIF(Densidades!A:A,'Memória TOTAL'!X1255,Densidades!C:C)</f>
        <v>620</v>
      </c>
      <c r="E1255" s="135">
        <f>SUMIF(Formatos!A:A,'Memória TOTAL'!X1256,Formatos!E:E)</f>
        <v>0</v>
      </c>
      <c r="F1255" s="135">
        <f>SUMIF(Formatos!A:A,'Memória TOTAL'!X1256,Formatos!F:F)</f>
        <v>0</v>
      </c>
      <c r="G1255" s="135">
        <f>SUMIF(Formatos!A:A,'Memória TOTAL'!X1256,Formatos!C:C)</f>
        <v>0</v>
      </c>
      <c r="H1255" s="135">
        <f>SUMIF(Formatos!A:A,'Memória TOTAL'!X1256,Formatos!D:D)</f>
        <v>0</v>
      </c>
      <c r="I1255" s="135">
        <f>SUMIF(Densidades!A:A,'Memória TOTAL'!X1255,Densidades!H:H)</f>
        <v>0</v>
      </c>
      <c r="J1255" s="136">
        <f>SUMIF(Formatos!A:A,'Memória TOTAL'!X1256,Formatos!G:G)</f>
        <v>0</v>
      </c>
      <c r="K1255" s="222">
        <f>SUMIF(Densidades!A:A,'Memória TOTAL'!X1255,Densidades!I:I)</f>
        <v>177</v>
      </c>
      <c r="L1255" s="223">
        <v>0</v>
      </c>
      <c r="M1255" s="195"/>
      <c r="N1255" s="195"/>
      <c r="O1255" s="195"/>
      <c r="P1255" s="195"/>
      <c r="Q1255" s="195"/>
      <c r="R1255" s="195"/>
      <c r="S1255" s="195"/>
      <c r="T1255" s="232"/>
      <c r="U1255" s="235"/>
      <c r="V1255" s="256" t="str">
        <f>IF(M1251="","",IF(OR(M1251=E1251,M1251=G1251,M1251=H1251),ROUND(S1258,0),"ESP. ERRADA"))</f>
        <v/>
      </c>
      <c r="W1255" s="267" t="str">
        <f>IFERROR(IF(C1255=0,"",ROUNDUP(SUM(V1255)*(1+L1255),0))*U1251,"")</f>
        <v/>
      </c>
      <c r="X1255" s="141" t="str">
        <f>IF(X1251="","",X1251)</f>
        <v/>
      </c>
      <c r="Z1255" s="187"/>
      <c r="AA1255" s="187"/>
    </row>
    <row r="1256" spans="1:27" s="186" customFormat="1" ht="15" customHeight="1">
      <c r="A1256" s="215"/>
      <c r="B1256" s="301"/>
      <c r="C1256" s="236"/>
      <c r="D1256" s="195"/>
      <c r="E1256" s="195"/>
      <c r="F1256" s="195"/>
      <c r="G1256" s="195"/>
      <c r="H1256" s="195"/>
      <c r="I1256" s="195"/>
      <c r="J1256" s="196"/>
      <c r="K1256" s="196"/>
      <c r="L1256" s="144"/>
      <c r="M1256" s="195"/>
      <c r="N1256" s="195"/>
      <c r="O1256" s="195"/>
      <c r="P1256" s="195"/>
      <c r="Q1256" s="195"/>
      <c r="R1256" s="195"/>
      <c r="S1256" s="195"/>
      <c r="T1256" s="195"/>
      <c r="U1256" s="195"/>
      <c r="V1256" s="197"/>
      <c r="W1256" s="185"/>
      <c r="X1256" s="141" t="str">
        <f>IF(B1258="","",B1258)</f>
        <v/>
      </c>
      <c r="Z1256" s="187"/>
      <c r="AA1256" s="187"/>
    </row>
    <row r="1257" spans="1:27" s="186" customFormat="1" ht="15" customHeight="1">
      <c r="A1257" s="215"/>
      <c r="B1257" s="301"/>
      <c r="C1257" s="243" t="s">
        <v>54</v>
      </c>
      <c r="D1257" s="239"/>
      <c r="E1257" s="195">
        <f>SUMIF(Formatos!A:A,'Memória TOTAL'!X1252,Formatos!S:S)</f>
        <v>0</v>
      </c>
      <c r="F1257" s="238"/>
      <c r="G1257" s="238"/>
      <c r="H1257" s="148" t="s">
        <v>54</v>
      </c>
      <c r="I1257" s="148" t="s">
        <v>55</v>
      </c>
      <c r="J1257" s="196"/>
      <c r="K1257" s="195" t="s">
        <v>1076</v>
      </c>
      <c r="L1257" s="144"/>
      <c r="M1257" s="195"/>
      <c r="N1257" s="195" t="s">
        <v>22</v>
      </c>
      <c r="O1257" s="149" t="s">
        <v>48</v>
      </c>
      <c r="P1257" s="149" t="s">
        <v>49</v>
      </c>
      <c r="Q1257" s="150" t="s">
        <v>50</v>
      </c>
      <c r="R1257" s="149" t="s">
        <v>54</v>
      </c>
      <c r="S1257" s="149" t="s">
        <v>55</v>
      </c>
      <c r="T1257" s="195"/>
      <c r="U1257" s="195"/>
      <c r="V1257" s="197"/>
      <c r="W1257" s="185"/>
      <c r="X1257" s="141" t="s">
        <v>524</v>
      </c>
      <c r="Z1257" s="187"/>
      <c r="AA1257" s="187"/>
    </row>
    <row r="1258" spans="1:27" s="186" customFormat="1" ht="15" customHeight="1" thickBot="1">
      <c r="A1258" s="215"/>
      <c r="B1258" s="302"/>
      <c r="C1258" s="243" t="s">
        <v>55</v>
      </c>
      <c r="D1258" s="239"/>
      <c r="E1258" s="195">
        <f>SUMIF(Formatos!A:A,'Memória TOTAL'!X1256,Formatos!S:S)</f>
        <v>0</v>
      </c>
      <c r="F1258" s="195"/>
      <c r="G1258" s="195"/>
      <c r="H1258" s="304" t="e">
        <f>(1/(-(N1258+N1251)*(Q1258+N1251)+(O1258+N1251)*(P1258+N1251)))*3.1416*(-P1251*(Q1258+N1251)+Q1251*(P1258+N1251))</f>
        <v>#DIV/0!</v>
      </c>
      <c r="I1258" s="304" t="e">
        <f>((P1251*PI())-(H1258*(N1258+N1251)))/(P1258+N1251)</f>
        <v>#DIV/0!</v>
      </c>
      <c r="J1258" s="196"/>
      <c r="K1258" s="195">
        <f>(P1251*PI()/360*R1251)^2*PI()/4</f>
        <v>0</v>
      </c>
      <c r="L1258" s="144"/>
      <c r="M1258" s="195"/>
      <c r="N1258" s="195">
        <f>E1251</f>
        <v>0</v>
      </c>
      <c r="O1258" s="151">
        <f>F1251</f>
        <v>0</v>
      </c>
      <c r="P1258" s="151">
        <f>E1255</f>
        <v>0</v>
      </c>
      <c r="Q1258" s="157">
        <f>F1255</f>
        <v>0</v>
      </c>
      <c r="R1258" s="151" t="e">
        <f>ROUNDUP(K1258/E1251/H1251*H1259,0)</f>
        <v>#DIV/0!</v>
      </c>
      <c r="S1258" s="151" t="e">
        <f>ROUNDUP(K1258/E1255/H1255*I1259,)</f>
        <v>#DIV/0!</v>
      </c>
      <c r="T1258" s="195"/>
      <c r="U1258" s="195"/>
      <c r="V1258" s="197"/>
      <c r="W1258" s="231"/>
      <c r="X1258" s="141"/>
      <c r="Z1258" s="187"/>
      <c r="AA1258" s="187"/>
    </row>
    <row r="1259" spans="1:27" s="155" customFormat="1" ht="15" customHeight="1" thickBot="1">
      <c r="A1259" s="248"/>
      <c r="B1259" s="247" t="s">
        <v>676</v>
      </c>
      <c r="C1259" s="236"/>
      <c r="D1259" s="195"/>
      <c r="E1259" s="195"/>
      <c r="F1259" s="195"/>
      <c r="G1259" s="195"/>
      <c r="H1259" s="304" t="e">
        <f>H1258/(H1258+I1258)</f>
        <v>#DIV/0!</v>
      </c>
      <c r="I1259" s="304" t="e">
        <f>I1258/(H1258+I1258)</f>
        <v>#DIV/0!</v>
      </c>
      <c r="J1259" s="196"/>
      <c r="K1259" s="196"/>
      <c r="L1259" s="195"/>
      <c r="M1259" s="195"/>
      <c r="N1259" s="195"/>
      <c r="O1259" s="195"/>
      <c r="P1259" s="195"/>
      <c r="Q1259" s="195"/>
      <c r="R1259" s="195"/>
      <c r="S1259" s="195"/>
      <c r="T1259" s="151"/>
      <c r="U1259" s="151"/>
      <c r="V1259" s="152"/>
      <c r="W1259" s="153"/>
      <c r="X1259" s="154"/>
      <c r="Z1259" s="156"/>
      <c r="AA1259" s="156"/>
    </row>
    <row r="1260" spans="1:27" s="186" customFormat="1" ht="15" customHeight="1">
      <c r="A1260" s="215"/>
      <c r="B1260" s="210"/>
      <c r="C1260" s="298"/>
      <c r="D1260" s="195"/>
      <c r="E1260" s="135"/>
      <c r="F1260" s="135"/>
      <c r="G1260" s="135"/>
      <c r="H1260" s="135"/>
      <c r="I1260" s="232"/>
      <c r="J1260" s="232"/>
      <c r="K1260" s="232"/>
      <c r="L1260" s="195"/>
      <c r="M1260" s="195"/>
      <c r="N1260" s="195"/>
      <c r="O1260" s="144"/>
      <c r="P1260" s="195"/>
      <c r="Q1260" s="195"/>
      <c r="R1260" s="195"/>
      <c r="S1260" s="195"/>
      <c r="T1260" s="195"/>
      <c r="U1260" s="195"/>
      <c r="V1260" s="197"/>
      <c r="W1260" s="185"/>
      <c r="X1260" s="141"/>
      <c r="Z1260" s="187"/>
      <c r="AA1260" s="187"/>
    </row>
    <row r="1261" spans="1:27" s="186" customFormat="1" ht="15" customHeight="1">
      <c r="A1261" s="215"/>
      <c r="B1261" s="210"/>
      <c r="C1261" s="298"/>
      <c r="D1261" s="195"/>
      <c r="E1261" s="135"/>
      <c r="F1261" s="135"/>
      <c r="G1261" s="135"/>
      <c r="H1261" s="135"/>
      <c r="I1261" s="232"/>
      <c r="J1261" s="232"/>
      <c r="K1261" s="232"/>
      <c r="L1261" s="195"/>
      <c r="M1261" s="195" t="e" vm="1">
        <v>#VALUE!</v>
      </c>
      <c r="N1261" s="195"/>
      <c r="O1261" s="144"/>
      <c r="P1261" s="195"/>
      <c r="Q1261" s="195"/>
      <c r="R1261" s="195"/>
      <c r="S1261" s="195"/>
      <c r="T1261" s="195"/>
      <c r="U1261" s="195"/>
      <c r="V1261" s="197"/>
      <c r="W1261" s="185"/>
      <c r="X1261" s="141"/>
      <c r="Z1261" s="187"/>
      <c r="AA1261" s="187"/>
    </row>
    <row r="1262" spans="1:27" s="186" customFormat="1" ht="15" customHeight="1" thickBot="1">
      <c r="A1262" s="215"/>
      <c r="B1262" s="279" t="s">
        <v>1010</v>
      </c>
      <c r="C1262" s="280"/>
      <c r="D1262" s="281"/>
      <c r="E1262" s="281"/>
      <c r="F1262" s="281"/>
      <c r="G1262" s="281"/>
      <c r="H1262" s="281"/>
      <c r="I1262" s="281"/>
      <c r="J1262" s="282"/>
      <c r="K1262" s="282"/>
      <c r="L1262" s="283"/>
      <c r="M1262" s="281"/>
      <c r="N1262" s="281"/>
      <c r="O1262" s="281"/>
      <c r="P1262" s="281"/>
      <c r="Q1262" s="281"/>
      <c r="R1262" s="281"/>
      <c r="S1262" s="284"/>
      <c r="T1262" s="281"/>
      <c r="U1262" s="281" t="s">
        <v>678</v>
      </c>
      <c r="V1262" s="285" t="s">
        <v>27</v>
      </c>
      <c r="W1262" s="286"/>
      <c r="X1262" s="287"/>
      <c r="Z1262" s="187"/>
      <c r="AA1262" s="187"/>
    </row>
    <row r="1263" spans="1:27" s="186" customFormat="1" ht="15" customHeight="1" thickBot="1">
      <c r="A1263" s="215"/>
      <c r="B1263" s="210"/>
      <c r="C1263" s="133">
        <f>SUMIF(Densidades!A:A,'Memória TOTAL'!X1263,Densidades!B:B)</f>
        <v>0</v>
      </c>
      <c r="D1263" s="134">
        <f>SUMIF(Densidades!A:A,'Memória TOTAL'!X1263,Densidades!C:C)</f>
        <v>0</v>
      </c>
      <c r="E1263" s="134" t="str">
        <f>IF(I1263=15,"FIRECLAY MORTAR",IF(I1263=16,"ALUMINA MORTAR",IF(I1263=17,"BASIC MORTAR",IF(I1263=18,"MORTAR","-"))))</f>
        <v>-</v>
      </c>
      <c r="F1263" s="134" t="str">
        <f>IF(I1263=15,"FIRECLAY MORTAR",IF(I1263=16,"ALUMINA MORTAR",IF(I1263=17,"BASIC MORTAR",IF(I1263=18,"MORTAR","-"))))</f>
        <v>-</v>
      </c>
      <c r="G1263" s="134" t="str">
        <f>IF(I1263=15,"FIRECLAY MORTAR",IF(I1263=16,"ALUMINA MORTAR",IF(I1263=17,"BASIC MORTAR",IF(I1263=18,"MORTAR","-"))))</f>
        <v>-</v>
      </c>
      <c r="H1263" s="134" t="str">
        <f>IF(I1263=15,"FIRECLAY MORTAR",IF(I1263=16,"ALUMINA MORTAR",IF(I1263=17,"BASIC MORTAR",IF(I1263=18,"MORTAR","-"))))</f>
        <v>-</v>
      </c>
      <c r="I1263" s="134">
        <f>SUMIF(Densidades!A:A,'Memória TOTAL'!X1263,Densidades!G:G)</f>
        <v>0</v>
      </c>
      <c r="J1263" s="136">
        <f>SUMIF(Formatos!A:A,'Memória TOTAL'!X1264,Formatos!G:G)</f>
        <v>0</v>
      </c>
      <c r="K1263" s="137">
        <f>SUMIF(Densidades!A:A,'Memória TOTAL'!X1263,Densidades!I:I)</f>
        <v>0</v>
      </c>
      <c r="L1263" s="188">
        <v>0</v>
      </c>
      <c r="M1263" s="189"/>
      <c r="N1263" s="189"/>
      <c r="O1263" s="189"/>
      <c r="P1263" s="189"/>
      <c r="Q1263" s="189"/>
      <c r="R1263" s="189"/>
      <c r="S1263" s="189"/>
      <c r="T1263" s="190"/>
      <c r="U1263" s="290">
        <v>0.06</v>
      </c>
      <c r="V1263" s="192" t="e">
        <f>(W1251*J1251*C1263+W1255*J1255*C1263)*U1263</f>
        <v>#VALUE!</v>
      </c>
      <c r="W1263" s="193" t="str">
        <f>IF(C1263=0,"",ROUNDUP(SUM(V1263:V1264)*(1+L1263)/D1263,2)*D1263)</f>
        <v/>
      </c>
      <c r="X1263" s="263"/>
      <c r="Z1263" s="187"/>
      <c r="AA1263" s="187"/>
    </row>
    <row r="1264" spans="1:27" s="186" customFormat="1" ht="15" customHeight="1">
      <c r="A1264" s="215"/>
      <c r="B1264" s="210"/>
      <c r="C1264" s="133"/>
      <c r="D1264" s="195"/>
      <c r="E1264" s="195"/>
      <c r="F1264" s="195"/>
      <c r="G1264" s="195"/>
      <c r="H1264" s="195"/>
      <c r="I1264" s="195"/>
      <c r="J1264" s="196"/>
      <c r="K1264" s="196"/>
      <c r="L1264" s="144"/>
      <c r="M1264" s="195"/>
      <c r="N1264" s="195"/>
      <c r="O1264" s="195"/>
      <c r="P1264" s="195"/>
      <c r="Q1264" s="195"/>
      <c r="R1264" s="195"/>
      <c r="S1264" s="195"/>
      <c r="T1264" s="195"/>
      <c r="U1264" s="195"/>
      <c r="V1264" s="197"/>
      <c r="W1264" s="185"/>
      <c r="X1264" s="141" t="str">
        <f>IF(AND(H1263="-",G1263="-",F1263="-"),E1263,IF(AND(H1263="-",G1263="-",E1263="-"),F1263,IF(AND(H1263="-",F1263="-",E1263="-"),G1263,H1263)))</f>
        <v>-</v>
      </c>
      <c r="Z1264" s="187"/>
      <c r="AA1264" s="187"/>
    </row>
    <row r="1265" spans="1:27" s="186" customFormat="1" ht="15" customHeight="1">
      <c r="A1265" s="215"/>
      <c r="B1265" s="213"/>
      <c r="C1265" s="133"/>
      <c r="D1265" s="195"/>
      <c r="E1265" s="195"/>
      <c r="F1265" s="195"/>
      <c r="G1265" s="195"/>
      <c r="H1265" s="195"/>
      <c r="I1265" s="195"/>
      <c r="J1265" s="196"/>
      <c r="K1265" s="196"/>
      <c r="L1265" s="144"/>
      <c r="M1265" s="195"/>
      <c r="N1265" s="195"/>
      <c r="O1265" s="195"/>
      <c r="P1265" s="195"/>
      <c r="Q1265" s="195"/>
      <c r="R1265" s="195"/>
      <c r="S1265" s="195"/>
      <c r="T1265" s="195"/>
      <c r="U1265" s="195"/>
      <c r="V1265" s="197"/>
      <c r="W1265" s="185"/>
      <c r="X1265" s="141" t="s">
        <v>2</v>
      </c>
      <c r="Z1265" s="187"/>
      <c r="AA1265" s="187"/>
    </row>
    <row r="1266" spans="1:27" ht="15" customHeight="1">
      <c r="A1266" s="215"/>
      <c r="B1266" s="131"/>
      <c r="C1266" s="169"/>
      <c r="D1266" s="170"/>
      <c r="E1266" s="170"/>
      <c r="F1266" s="170"/>
      <c r="G1266" s="170"/>
      <c r="H1266" s="170"/>
      <c r="I1266" s="170"/>
      <c r="J1266" s="171"/>
      <c r="K1266" s="171"/>
      <c r="L1266" s="172"/>
      <c r="M1266" s="170"/>
      <c r="N1266" s="170"/>
      <c r="O1266" s="170"/>
      <c r="P1266" s="170"/>
      <c r="Q1266" s="170"/>
      <c r="R1266" s="170"/>
      <c r="S1266" s="170"/>
      <c r="T1266" s="170"/>
      <c r="U1266" s="170"/>
      <c r="V1266" s="173"/>
      <c r="W1266" s="174"/>
      <c r="X1266" s="175"/>
    </row>
    <row r="1267" spans="1:27" s="186" customFormat="1" ht="15" customHeight="1" thickBot="1">
      <c r="A1267" s="215"/>
      <c r="B1267" s="279" t="s">
        <v>1011</v>
      </c>
      <c r="C1267" s="280"/>
      <c r="D1267" s="281"/>
      <c r="E1267" s="281"/>
      <c r="F1267" s="281"/>
      <c r="G1267" s="281"/>
      <c r="H1267" s="281"/>
      <c r="I1267" s="281"/>
      <c r="J1267" s="282"/>
      <c r="K1267" s="282"/>
      <c r="L1267" s="283"/>
      <c r="M1267" s="281"/>
      <c r="N1267" s="281"/>
      <c r="O1267" s="281"/>
      <c r="P1267" s="281"/>
      <c r="Q1267" s="281"/>
      <c r="R1267" s="281" t="s">
        <v>636</v>
      </c>
      <c r="S1267" s="284" t="s">
        <v>637</v>
      </c>
      <c r="T1267" s="281" t="s">
        <v>638</v>
      </c>
      <c r="U1267" s="281" t="s">
        <v>38</v>
      </c>
      <c r="V1267" s="285" t="s">
        <v>27</v>
      </c>
      <c r="W1267" s="286"/>
      <c r="X1267" s="287"/>
      <c r="Z1267" s="187"/>
      <c r="AA1267" s="187"/>
    </row>
    <row r="1268" spans="1:27" s="186" customFormat="1" ht="15" customHeight="1" thickBot="1">
      <c r="A1268" s="215"/>
      <c r="B1268" s="210"/>
      <c r="C1268" s="133">
        <f>SUMIF(Densidades!A:A,'Memória TOTAL'!X1268,Densidades!B:B)</f>
        <v>0</v>
      </c>
      <c r="D1268" s="134">
        <f>SUMIF(Densidades!A:A,'Memória TOTAL'!X1268,Densidades!C:C)</f>
        <v>0</v>
      </c>
      <c r="E1268" s="134" t="str">
        <f>IF(I1268=15,"FIRECLAY MORTAR",IF(I1268=16,"ALUMINA MORTAR",IF(I1268=17,"BASIC MORTAR",IF(I1268=18,"MORTAR","-"))))</f>
        <v>-</v>
      </c>
      <c r="F1268" s="134" t="str">
        <f>IF(I1268=15,"FIRECLAY MORTAR",IF(I1268=16,"ALUMINA MORTAR",IF(I1268=17,"BASIC MORTAR",IF(I1268=18,"MORTAR","-"))))</f>
        <v>-</v>
      </c>
      <c r="G1268" s="134" t="str">
        <f>IF(I1268=15,"FIRECLAY MORTAR",IF(I1268=16,"ALUMINA MORTAR",IF(I1268=17,"BASIC MORTAR",IF(I1268=18,"MORTAR","-"))))</f>
        <v>-</v>
      </c>
      <c r="H1268" s="134" t="str">
        <f>IF(I1268=15,"FIRECLAY MORTAR",IF(I1268=16,"ALUMINA MORTAR",IF(I1268=17,"BASIC MORTAR",IF(I1268=18,"MORTAR","-"))))</f>
        <v>-</v>
      </c>
      <c r="I1268" s="134">
        <f>SUMIF(Densidades!A:A,'Memória TOTAL'!X1268,Densidades!G:G)</f>
        <v>0</v>
      </c>
      <c r="J1268" s="136">
        <f>SUMIF(Formatos!A:A,'Memória TOTAL'!X1269,Formatos!G:G)</f>
        <v>0</v>
      </c>
      <c r="K1268" s="222">
        <f>SUMIF(Densidades!A:A,'Memória TOTAL'!X1268,Densidades!I:I)</f>
        <v>0</v>
      </c>
      <c r="L1268" s="188">
        <v>0</v>
      </c>
      <c r="M1268" s="189"/>
      <c r="N1268" s="189"/>
      <c r="O1268" s="189"/>
      <c r="P1268" s="189"/>
      <c r="Q1268" s="189"/>
      <c r="R1268" s="190">
        <f>((G1251*H1251)+(G1251*E1251)+(H1251*E1251))/1000000</f>
        <v>0</v>
      </c>
      <c r="S1268" s="259">
        <v>2</v>
      </c>
      <c r="T1268" s="190">
        <f>R1268*S1268</f>
        <v>0</v>
      </c>
      <c r="U1268" s="191">
        <f>SUM(W1251:W1256)</f>
        <v>0</v>
      </c>
      <c r="V1268" s="192">
        <f>(T1268*C1268*(1+L1268))*U1268</f>
        <v>0</v>
      </c>
      <c r="W1268" s="140" t="str">
        <f>IF(C1268=0,"",ROUNDUP(SUM(V1268:V1269)*(1+L1268)/D1268,2)*D1268)</f>
        <v/>
      </c>
      <c r="X1268" s="263"/>
      <c r="Z1268" s="187"/>
      <c r="AA1268" s="187"/>
    </row>
    <row r="1269" spans="1:27" s="186" customFormat="1" ht="15" customHeight="1">
      <c r="A1269" s="215"/>
      <c r="B1269" s="210"/>
      <c r="C1269" s="133"/>
      <c r="D1269" s="195"/>
      <c r="E1269" s="195"/>
      <c r="F1269" s="195"/>
      <c r="G1269" s="195"/>
      <c r="H1269" s="195"/>
      <c r="I1269" s="195"/>
      <c r="J1269" s="196"/>
      <c r="K1269" s="196"/>
      <c r="L1269" s="144"/>
      <c r="M1269" s="195"/>
      <c r="N1269" s="195"/>
      <c r="O1269" s="195"/>
      <c r="P1269" s="195"/>
      <c r="Q1269" s="195"/>
      <c r="R1269" s="195"/>
      <c r="S1269" s="195"/>
      <c r="T1269" s="195"/>
      <c r="U1269" s="195"/>
      <c r="V1269" s="197"/>
      <c r="W1269" s="185"/>
      <c r="X1269" s="141" t="str">
        <f>IF(AND(H1268="-",G1268="-",F1268="-"),E1268,IF(AND(H1268="-",G1268="-",E1268="-"),F1268,IF(AND(H1268="-",F1268="-",E1268="-"),G1268,H1268)))</f>
        <v>-</v>
      </c>
      <c r="Z1269" s="187"/>
      <c r="AA1269" s="187"/>
    </row>
    <row r="1270" spans="1:27" s="186" customFormat="1" ht="15" customHeight="1">
      <c r="A1270" s="215"/>
      <c r="B1270" s="213"/>
      <c r="C1270" s="133"/>
      <c r="D1270" s="195"/>
      <c r="E1270" s="195"/>
      <c r="F1270" s="195"/>
      <c r="G1270" s="195"/>
      <c r="H1270" s="195"/>
      <c r="I1270" s="195"/>
      <c r="J1270" s="196"/>
      <c r="K1270" s="196"/>
      <c r="L1270" s="144"/>
      <c r="M1270" s="195"/>
      <c r="N1270" s="195"/>
      <c r="O1270" s="195"/>
      <c r="P1270" s="195"/>
      <c r="Q1270" s="195"/>
      <c r="R1270" s="195"/>
      <c r="S1270" s="195"/>
      <c r="T1270" s="195"/>
      <c r="U1270" s="195"/>
      <c r="V1270" s="197"/>
      <c r="W1270" s="185"/>
      <c r="X1270" s="141" t="s">
        <v>2</v>
      </c>
      <c r="Z1270" s="187"/>
      <c r="AA1270" s="187"/>
    </row>
    <row r="1271" spans="1:27" s="186" customFormat="1" ht="15" customHeight="1">
      <c r="A1271" s="215"/>
      <c r="B1271" s="210"/>
      <c r="C1271" s="298"/>
      <c r="D1271" s="195"/>
      <c r="E1271" s="135"/>
      <c r="F1271" s="135"/>
      <c r="G1271" s="135"/>
      <c r="H1271" s="135"/>
      <c r="I1271" s="232"/>
      <c r="J1271" s="232"/>
      <c r="K1271" s="232"/>
      <c r="L1271" s="195"/>
      <c r="M1271" s="195"/>
      <c r="N1271" s="195"/>
      <c r="O1271" s="144"/>
      <c r="P1271" s="195"/>
      <c r="Q1271" s="195"/>
      <c r="R1271" s="195"/>
      <c r="S1271" s="195"/>
      <c r="T1271" s="195"/>
      <c r="U1271" s="195"/>
      <c r="V1271" s="197"/>
      <c r="W1271" s="185"/>
      <c r="X1271" s="141"/>
      <c r="Z1271" s="187"/>
      <c r="AA1271" s="187"/>
    </row>
    <row r="1272" spans="1:27" s="186" customFormat="1" ht="15" customHeight="1" thickBot="1">
      <c r="A1272" s="215"/>
      <c r="B1272" s="509"/>
      <c r="C1272" s="509"/>
      <c r="D1272" s="512"/>
      <c r="E1272" s="512"/>
      <c r="F1272" s="512"/>
      <c r="G1272" s="512"/>
      <c r="H1272" s="512"/>
      <c r="I1272" s="512"/>
      <c r="J1272" s="512"/>
      <c r="K1272" s="512"/>
      <c r="L1272" s="512"/>
      <c r="M1272" s="512"/>
      <c r="N1272" s="512"/>
      <c r="O1272" s="512"/>
      <c r="P1272" s="512"/>
      <c r="Q1272" s="512"/>
      <c r="R1272" s="512"/>
      <c r="S1272" s="512"/>
      <c r="T1272" s="512"/>
      <c r="U1272" s="512"/>
      <c r="V1272" s="512"/>
      <c r="W1272" s="512"/>
      <c r="X1272" s="513"/>
      <c r="Z1272" s="187"/>
      <c r="AA1272" s="187"/>
    </row>
    <row r="1273" spans="1:27" ht="15" customHeight="1" thickBot="1">
      <c r="A1273" s="278"/>
      <c r="B1273" s="272" t="s">
        <v>642</v>
      </c>
      <c r="C1273" s="273" t="s">
        <v>101</v>
      </c>
      <c r="D1273" s="274" t="s">
        <v>102</v>
      </c>
      <c r="E1273" s="274"/>
      <c r="F1273" s="274"/>
      <c r="G1273" s="274"/>
      <c r="H1273" s="274"/>
      <c r="I1273" s="274"/>
      <c r="J1273" s="274" t="s">
        <v>103</v>
      </c>
      <c r="K1273" s="274" t="s">
        <v>37</v>
      </c>
      <c r="L1273" s="274" t="s">
        <v>39</v>
      </c>
      <c r="M1273" s="274" t="s">
        <v>62</v>
      </c>
      <c r="N1273" s="274" t="s">
        <v>106</v>
      </c>
      <c r="O1273" s="274" t="s">
        <v>68</v>
      </c>
      <c r="P1273" s="274" t="s">
        <v>69</v>
      </c>
      <c r="Q1273" s="274" t="s">
        <v>107</v>
      </c>
      <c r="R1273" s="274" t="s">
        <v>53</v>
      </c>
      <c r="S1273" s="274" t="s">
        <v>40</v>
      </c>
      <c r="T1273" s="274" t="s">
        <v>26</v>
      </c>
      <c r="U1273" s="274" t="s">
        <v>38</v>
      </c>
      <c r="V1273" s="275" t="s">
        <v>27</v>
      </c>
      <c r="W1273" s="276"/>
      <c r="X1273" s="277"/>
    </row>
    <row r="1274" spans="1:27" s="186" customFormat="1" ht="15" customHeight="1" thickBot="1">
      <c r="A1274" s="215"/>
      <c r="B1274" s="210"/>
      <c r="C1274" s="133">
        <f>SUMIF(Densidades!A:A,'Memória TOTAL'!X1274,Densidades!B:B)</f>
        <v>0</v>
      </c>
      <c r="D1274" s="134">
        <f>SUMIF(Densidades!A:A,'Memória TOTAL'!X1274,Densidades!C:C)</f>
        <v>0</v>
      </c>
      <c r="E1274" s="134"/>
      <c r="F1274" s="134"/>
      <c r="G1274" s="134"/>
      <c r="H1274" s="134"/>
      <c r="I1274" s="134"/>
      <c r="J1274" s="136">
        <f>SUMIF(Formatos!A:A,'Memória TOTAL'!X1275,Formatos!G:G)</f>
        <v>0</v>
      </c>
      <c r="K1274" s="222">
        <f>SUMIF(Densidades!A:A,'Memória TOTAL'!X1274,Densidades!I:I)</f>
        <v>0</v>
      </c>
      <c r="L1274" s="223">
        <v>0</v>
      </c>
      <c r="M1274" s="195"/>
      <c r="N1274" s="195"/>
      <c r="O1274" s="195"/>
      <c r="P1274" s="195"/>
      <c r="Q1274" s="195"/>
      <c r="R1274" s="195"/>
      <c r="S1274" s="195"/>
      <c r="T1274" s="195"/>
      <c r="U1274" s="195"/>
      <c r="V1274" s="197"/>
      <c r="W1274" s="266"/>
      <c r="X1274" s="263"/>
      <c r="Z1274" s="187"/>
      <c r="AA1274" s="187"/>
    </row>
    <row r="1275" spans="1:27" s="186" customFormat="1" ht="15" customHeight="1" thickBot="1">
      <c r="A1275" s="215"/>
      <c r="B1275" s="210"/>
      <c r="C1275" s="200"/>
      <c r="D1275" s="195"/>
      <c r="E1275" s="195"/>
      <c r="F1275" s="195"/>
      <c r="G1275" s="195"/>
      <c r="H1275" s="195"/>
      <c r="I1275" s="195"/>
      <c r="J1275" s="196"/>
      <c r="K1275" s="196"/>
      <c r="L1275" s="144"/>
      <c r="M1275" s="195"/>
      <c r="N1275" s="195"/>
      <c r="O1275" s="195"/>
      <c r="P1275" s="195"/>
      <c r="Q1275" s="195"/>
      <c r="R1275" s="195"/>
      <c r="S1275" s="195"/>
      <c r="T1275" s="195"/>
      <c r="U1275" s="195"/>
      <c r="V1275" s="197"/>
      <c r="W1275" s="185"/>
      <c r="X1275" s="263"/>
      <c r="Z1275" s="187"/>
      <c r="AA1275" s="187"/>
    </row>
    <row r="1276" spans="1:27" s="186" customFormat="1" ht="15" customHeight="1">
      <c r="A1276" s="215"/>
      <c r="B1276" s="213"/>
      <c r="C1276" s="200"/>
      <c r="D1276" s="195"/>
      <c r="E1276" s="195"/>
      <c r="F1276" s="195"/>
      <c r="G1276" s="195"/>
      <c r="H1276" s="195"/>
      <c r="I1276" s="195"/>
      <c r="J1276" s="196"/>
      <c r="K1276" s="196"/>
      <c r="L1276" s="144"/>
      <c r="M1276" s="195"/>
      <c r="N1276" s="195"/>
      <c r="O1276" s="195"/>
      <c r="P1276" s="195"/>
      <c r="Q1276" s="195"/>
      <c r="R1276" s="195"/>
      <c r="S1276" s="195"/>
      <c r="T1276" s="195"/>
      <c r="U1276" s="195"/>
      <c r="V1276" s="197"/>
      <c r="W1276" s="185"/>
      <c r="X1276" s="141" t="s">
        <v>524</v>
      </c>
      <c r="Z1276" s="187"/>
      <c r="AA1276" s="187"/>
    </row>
    <row r="1277" spans="1:27" s="186" customFormat="1" ht="15" customHeight="1">
      <c r="A1277" s="215"/>
      <c r="B1277" s="210"/>
      <c r="C1277" s="298"/>
      <c r="D1277" s="195"/>
      <c r="E1277" s="135"/>
      <c r="F1277" s="135"/>
      <c r="G1277" s="135"/>
      <c r="H1277" s="135"/>
      <c r="I1277" s="232"/>
      <c r="J1277" s="232"/>
      <c r="K1277" s="232"/>
      <c r="L1277" s="195"/>
      <c r="M1277" s="195"/>
      <c r="N1277" s="195"/>
      <c r="O1277" s="144"/>
      <c r="P1277" s="195"/>
      <c r="Q1277" s="195"/>
      <c r="R1277" s="195"/>
      <c r="S1277" s="195"/>
      <c r="T1277" s="195"/>
      <c r="U1277" s="195"/>
      <c r="V1277" s="197"/>
      <c r="W1277" s="185"/>
      <c r="X1277" s="141"/>
      <c r="Z1277" s="187"/>
      <c r="AA1277" s="187"/>
    </row>
    <row r="1278" spans="1:27" s="186" customFormat="1" ht="15" customHeight="1" thickBot="1">
      <c r="A1278" s="215"/>
      <c r="B1278" s="509"/>
      <c r="C1278" s="509"/>
      <c r="D1278" s="512"/>
      <c r="E1278" s="512"/>
      <c r="F1278" s="512"/>
      <c r="G1278" s="512"/>
      <c r="H1278" s="512"/>
      <c r="I1278" s="512"/>
      <c r="J1278" s="512"/>
      <c r="K1278" s="512"/>
      <c r="L1278" s="512"/>
      <c r="M1278" s="512"/>
      <c r="N1278" s="512"/>
      <c r="O1278" s="512"/>
      <c r="P1278" s="512"/>
      <c r="Q1278" s="512"/>
      <c r="R1278" s="512"/>
      <c r="S1278" s="512"/>
      <c r="T1278" s="512"/>
      <c r="U1278" s="512"/>
      <c r="V1278" s="512"/>
      <c r="W1278" s="512"/>
      <c r="X1278" s="513"/>
      <c r="Z1278" s="187"/>
      <c r="AA1278" s="187"/>
    </row>
    <row r="1279" spans="1:27" s="186" customFormat="1" ht="15" customHeight="1" thickBot="1">
      <c r="A1279" s="305" t="s">
        <v>299</v>
      </c>
      <c r="B1279" s="306"/>
      <c r="C1279" s="307"/>
      <c r="D1279" s="307"/>
      <c r="E1279" s="307"/>
      <c r="F1279" s="307"/>
      <c r="G1279" s="307"/>
      <c r="H1279" s="307"/>
      <c r="I1279" s="307"/>
      <c r="J1279" s="308"/>
      <c r="K1279" s="308"/>
      <c r="L1279" s="309"/>
      <c r="M1279" s="307"/>
      <c r="N1279" s="307"/>
      <c r="O1279" s="310"/>
      <c r="P1279" s="311"/>
      <c r="Q1279" s="310"/>
      <c r="R1279" s="307"/>
      <c r="S1279" s="307"/>
      <c r="T1279" s="307"/>
      <c r="U1279" s="307"/>
      <c r="V1279" s="312"/>
      <c r="W1279" s="313"/>
      <c r="X1279" s="314"/>
      <c r="Z1279" s="187"/>
      <c r="AA1279" s="187"/>
    </row>
    <row r="1280" spans="1:27" s="186" customFormat="1" ht="15" customHeight="1">
      <c r="A1280" s="216"/>
      <c r="B1280" s="217"/>
      <c r="C1280" s="217"/>
      <c r="D1280" s="217"/>
      <c r="E1280" s="217"/>
      <c r="F1280" s="217"/>
      <c r="G1280" s="217"/>
      <c r="H1280" s="217"/>
      <c r="I1280" s="217"/>
      <c r="J1280" s="217"/>
      <c r="K1280" s="217"/>
      <c r="L1280" s="217"/>
      <c r="M1280" s="217"/>
      <c r="N1280" s="217"/>
      <c r="O1280" s="217"/>
      <c r="P1280" s="217"/>
      <c r="Q1280" s="217"/>
      <c r="R1280" s="217"/>
      <c r="S1280" s="217"/>
      <c r="T1280" s="217"/>
      <c r="U1280" s="217"/>
      <c r="V1280" s="217"/>
      <c r="W1280" s="218"/>
      <c r="X1280" s="218"/>
      <c r="Z1280" s="187"/>
      <c r="AA1280" s="187"/>
    </row>
  </sheetData>
  <dataConsolidate/>
  <mergeCells count="28">
    <mergeCell ref="B1154:B1155"/>
    <mergeCell ref="B1163:B1164"/>
    <mergeCell ref="S1163:T1163"/>
    <mergeCell ref="B697:B698"/>
    <mergeCell ref="B859:B860"/>
    <mergeCell ref="B868:B869"/>
    <mergeCell ref="S868:T868"/>
    <mergeCell ref="B933:B934"/>
    <mergeCell ref="O419:S419"/>
    <mergeCell ref="A1:X1"/>
    <mergeCell ref="A650:X650"/>
    <mergeCell ref="B232:B233"/>
    <mergeCell ref="S232:T232"/>
    <mergeCell ref="G337:H337"/>
    <mergeCell ref="M337:Q337"/>
    <mergeCell ref="B223:B224"/>
    <mergeCell ref="B297:B298"/>
    <mergeCell ref="B518:B519"/>
    <mergeCell ref="B527:B528"/>
    <mergeCell ref="S527:T527"/>
    <mergeCell ref="T501:U501"/>
    <mergeCell ref="B61:B62"/>
    <mergeCell ref="R337:V337"/>
    <mergeCell ref="G973:H973"/>
    <mergeCell ref="M973:Q973"/>
    <mergeCell ref="R973:V973"/>
    <mergeCell ref="O1055:S1055"/>
    <mergeCell ref="T1137:U1137"/>
  </mergeCells>
  <phoneticPr fontId="6" type="noConversion"/>
  <conditionalFormatting sqref="W638 X639:X640">
    <cfRule type="containsBlanks" dxfId="1151" priority="9942" stopIfTrue="1">
      <formula>LEN(TRIM(W638))=0</formula>
    </cfRule>
  </conditionalFormatting>
  <conditionalFormatting sqref="W638">
    <cfRule type="cellIs" dxfId="1150" priority="9941" stopIfTrue="1" operator="equal">
      <formula>0</formula>
    </cfRule>
  </conditionalFormatting>
  <conditionalFormatting sqref="X638">
    <cfRule type="containsBlanks" dxfId="1149" priority="9460" stopIfTrue="1">
      <formula>LEN(TRIM(X638))=0</formula>
    </cfRule>
  </conditionalFormatting>
  <conditionalFormatting sqref="W17">
    <cfRule type="cellIs" dxfId="1148" priority="9281" stopIfTrue="1" operator="equal">
      <formula>0</formula>
    </cfRule>
  </conditionalFormatting>
  <conditionalFormatting sqref="X286:X288">
    <cfRule type="containsBlanks" dxfId="1147" priority="9289" stopIfTrue="1">
      <formula>LEN(TRIM(X286))=0</formula>
    </cfRule>
  </conditionalFormatting>
  <conditionalFormatting sqref="V287:V288 V285 V290:V293">
    <cfRule type="cellIs" dxfId="1146" priority="9290" stopIfTrue="1" operator="equal">
      <formula>"ESP. ERRADA"</formula>
    </cfRule>
  </conditionalFormatting>
  <conditionalFormatting sqref="U21">
    <cfRule type="containsBlanks" dxfId="1145" priority="9282" stopIfTrue="1">
      <formula>LEN(TRIM(U21))=0</formula>
    </cfRule>
  </conditionalFormatting>
  <conditionalFormatting sqref="V20:V21">
    <cfRule type="cellIs" dxfId="1144" priority="9285" stopIfTrue="1" operator="equal">
      <formula>"ESP. ERRADA"</formula>
    </cfRule>
  </conditionalFormatting>
  <conditionalFormatting sqref="B232 U223 X223">
    <cfRule type="containsBlanks" dxfId="1143" priority="9298" stopIfTrue="1">
      <formula>LEN(TRIM(B223))=0</formula>
    </cfRule>
  </conditionalFormatting>
  <conditionalFormatting sqref="U20 X19 N17">
    <cfRule type="containsBlanks" dxfId="1142" priority="9287" stopIfTrue="1">
      <formula>LEN(TRIM(N17))=0</formula>
    </cfRule>
  </conditionalFormatting>
  <conditionalFormatting sqref="X291">
    <cfRule type="containsBlanks" dxfId="1141" priority="9279" stopIfTrue="1">
      <formula>LEN(TRIM(X291))=0</formula>
    </cfRule>
  </conditionalFormatting>
  <conditionalFormatting sqref="U286">
    <cfRule type="containsBlanks" dxfId="1140" priority="9280" stopIfTrue="1">
      <formula>LEN(TRIM(U286))=0</formula>
    </cfRule>
  </conditionalFormatting>
  <conditionalFormatting sqref="X138:X140">
    <cfRule type="containsBlanks" dxfId="1139" priority="9275" stopIfTrue="1">
      <formula>LEN(TRIM(X138))=0</formula>
    </cfRule>
  </conditionalFormatting>
  <conditionalFormatting sqref="M615 O615 U615:V615 V619 X615">
    <cfRule type="containsBlanks" dxfId="1138" priority="9271" stopIfTrue="1">
      <formula>LEN(TRIM(M615))=0</formula>
    </cfRule>
  </conditionalFormatting>
  <conditionalFormatting sqref="B126 B128 B133 M124 O124 O134 T124:V124 V128 X124">
    <cfRule type="containsBlanks" dxfId="1137" priority="9278" stopIfTrue="1">
      <formula>LEN(TRIM(B124))=0</formula>
    </cfRule>
  </conditionalFormatting>
  <conditionalFormatting sqref="U138">
    <cfRule type="containsBlanks" dxfId="1136" priority="9273" stopIfTrue="1">
      <formula>LEN(TRIM(U138))=0</formula>
    </cfRule>
  </conditionalFormatting>
  <conditionalFormatting sqref="X627:X629">
    <cfRule type="containsBlanks" dxfId="1135" priority="9268" stopIfTrue="1">
      <formula>LEN(TRIM(X627))=0</formula>
    </cfRule>
  </conditionalFormatting>
  <conditionalFormatting sqref="W66 W92 W87 W83 W75">
    <cfRule type="cellIs" dxfId="1134" priority="9251" stopIfTrue="1" operator="equal">
      <formula>0</formula>
    </cfRule>
  </conditionalFormatting>
  <conditionalFormatting sqref="X632">
    <cfRule type="containsBlanks" dxfId="1133" priority="9265" stopIfTrue="1">
      <formula>LEN(TRIM(X632))=0</formula>
    </cfRule>
  </conditionalFormatting>
  <conditionalFormatting sqref="X143">
    <cfRule type="containsBlanks" dxfId="1132" priority="9272" stopIfTrue="1">
      <formula>LEN(TRIM(X143))=0</formula>
    </cfRule>
  </conditionalFormatting>
  <conditionalFormatting sqref="P44 S44 U44">
    <cfRule type="containsBlanks" dxfId="1131" priority="9261" stopIfTrue="1">
      <formula>LEN(TRIM(P44))=0</formula>
    </cfRule>
  </conditionalFormatting>
  <conditionalFormatting sqref="X24">
    <cfRule type="containsBlanks" dxfId="1130" priority="9253" stopIfTrue="1">
      <formula>LEN(TRIM(X24))=0</formula>
    </cfRule>
  </conditionalFormatting>
  <conditionalFormatting sqref="R615">
    <cfRule type="containsBlanks" dxfId="1129" priority="9264" stopIfTrue="1">
      <formula>LEN(TRIM(R615))=0</formula>
    </cfRule>
  </conditionalFormatting>
  <conditionalFormatting sqref="V139:V140 V137 V142:V146">
    <cfRule type="cellIs" dxfId="1128" priority="9276" stopIfTrue="1" operator="equal">
      <formula>"ESP. ERRADA"</formula>
    </cfRule>
  </conditionalFormatting>
  <conditionalFormatting sqref="U69">
    <cfRule type="containsBlanks" dxfId="1127" priority="9246" stopIfTrue="1">
      <formula>LEN(TRIM(U69))=0</formula>
    </cfRule>
  </conditionalFormatting>
  <conditionalFormatting sqref="O70">
    <cfRule type="containsBlanks" dxfId="1126" priority="9244" stopIfTrue="1">
      <formula>LEN(TRIM(O70))=0</formula>
    </cfRule>
  </conditionalFormatting>
  <conditionalFormatting sqref="X42 M43 U43 X40">
    <cfRule type="containsBlanks" dxfId="1125" priority="9263" stopIfTrue="1">
      <formula>LEN(TRIM(M40))=0</formula>
    </cfRule>
  </conditionalFormatting>
  <conditionalFormatting sqref="V628:V629 V626 V631:V634">
    <cfRule type="cellIs" dxfId="1124" priority="9269" stopIfTrue="1" operator="equal">
      <formula>"ESP. ERRADA"</formula>
    </cfRule>
  </conditionalFormatting>
  <conditionalFormatting sqref="U627">
    <cfRule type="containsBlanks" dxfId="1123" priority="9266" stopIfTrue="1">
      <formula>LEN(TRIM(U627))=0</formula>
    </cfRule>
  </conditionalFormatting>
  <conditionalFormatting sqref="S69">
    <cfRule type="containsBlanks" dxfId="1122" priority="9247" stopIfTrue="1">
      <formula>LEN(TRIM(S69))=0</formula>
    </cfRule>
  </conditionalFormatting>
  <conditionalFormatting sqref="W40">
    <cfRule type="cellIs" dxfId="1121" priority="9262" stopIfTrue="1" operator="equal">
      <formula>0</formula>
    </cfRule>
  </conditionalFormatting>
  <conditionalFormatting sqref="U70">
    <cfRule type="containsBlanks" dxfId="1120" priority="9240" stopIfTrue="1">
      <formula>LEN(TRIM(U70))=0</formula>
    </cfRule>
  </conditionalFormatting>
  <conditionalFormatting sqref="X87">
    <cfRule type="containsBlanks" dxfId="1119" priority="9232" stopIfTrue="1">
      <formula>LEN(TRIM(X87))=0</formula>
    </cfRule>
  </conditionalFormatting>
  <conditionalFormatting sqref="V23:V27">
    <cfRule type="cellIs" dxfId="1118" priority="9257" stopIfTrue="1" operator="equal">
      <formula>"ESP. ERRADA"</formula>
    </cfRule>
  </conditionalFormatting>
  <conditionalFormatting sqref="X67">
    <cfRule type="containsBlanks" dxfId="1117" priority="9250" stopIfTrue="1">
      <formula>LEN(TRIM(X67))=0</formula>
    </cfRule>
  </conditionalFormatting>
  <conditionalFormatting sqref="P69">
    <cfRule type="containsBlanks" dxfId="1116" priority="9249" stopIfTrue="1">
      <formula>LEN(TRIM(P69))=0</formula>
    </cfRule>
  </conditionalFormatting>
  <conditionalFormatting sqref="X76">
    <cfRule type="containsBlanks" dxfId="1115" priority="9239" stopIfTrue="1">
      <formula>LEN(TRIM(X76))=0</formula>
    </cfRule>
  </conditionalFormatting>
  <conditionalFormatting sqref="N70">
    <cfRule type="containsBlanks" dxfId="1114" priority="9245" stopIfTrue="1">
      <formula>LEN(TRIM(N70))=0</formula>
    </cfRule>
  </conditionalFormatting>
  <conditionalFormatting sqref="X84">
    <cfRule type="containsBlanks" dxfId="1113" priority="9238" stopIfTrue="1">
      <formula>LEN(TRIM(X84))=0</formula>
    </cfRule>
  </conditionalFormatting>
  <conditionalFormatting sqref="R70">
    <cfRule type="containsBlanks" dxfId="1112" priority="9241" stopIfTrue="1">
      <formula>LEN(TRIM(R70))=0</formula>
    </cfRule>
  </conditionalFormatting>
  <conditionalFormatting sqref="X88">
    <cfRule type="containsBlanks" dxfId="1111" priority="9237" stopIfTrue="1">
      <formula>LEN(TRIM(X88))=0</formula>
    </cfRule>
  </conditionalFormatting>
  <conditionalFormatting sqref="X75">
    <cfRule type="containsBlanks" dxfId="1110" priority="9234" stopIfTrue="1">
      <formula>LEN(TRIM(X75))=0</formula>
    </cfRule>
  </conditionalFormatting>
  <conditionalFormatting sqref="X83">
    <cfRule type="containsBlanks" dxfId="1109" priority="9233" stopIfTrue="1">
      <formula>LEN(TRIM(X83))=0</formula>
    </cfRule>
  </conditionalFormatting>
  <conditionalFormatting sqref="X66">
    <cfRule type="containsBlanks" dxfId="1108" priority="9235" stopIfTrue="1">
      <formula>LEN(TRIM(X66))=0</formula>
    </cfRule>
  </conditionalFormatting>
  <conditionalFormatting sqref="U80">
    <cfRule type="containsBlanks" dxfId="1107" priority="9228" stopIfTrue="1">
      <formula>LEN(TRIM(U80))=0</formula>
    </cfRule>
  </conditionalFormatting>
  <conditionalFormatting sqref="U71">
    <cfRule type="containsBlanks" dxfId="1106" priority="9226" stopIfTrue="1">
      <formula>LEN(TRIM(U71))=0</formula>
    </cfRule>
  </conditionalFormatting>
  <conditionalFormatting sqref="P78">
    <cfRule type="containsBlanks" dxfId="1105" priority="9231" stopIfTrue="1">
      <formula>LEN(TRIM(P78))=0</formula>
    </cfRule>
  </conditionalFormatting>
  <conditionalFormatting sqref="S78">
    <cfRule type="containsBlanks" dxfId="1104" priority="9230" stopIfTrue="1">
      <formula>LEN(TRIM(S78))=0</formula>
    </cfRule>
  </conditionalFormatting>
  <conditionalFormatting sqref="U78">
    <cfRule type="containsBlanks" dxfId="1103" priority="9229" stopIfTrue="1">
      <formula>LEN(TRIM(U78))=0</formula>
    </cfRule>
  </conditionalFormatting>
  <conditionalFormatting sqref="N80">
    <cfRule type="containsBlanks" dxfId="1102" priority="9216" stopIfTrue="1">
      <formula>LEN(TRIM(N80))=0</formula>
    </cfRule>
  </conditionalFormatting>
  <conditionalFormatting sqref="U79">
    <cfRule type="containsBlanks" dxfId="1101" priority="9222" stopIfTrue="1">
      <formula>LEN(TRIM(U79))=0</formula>
    </cfRule>
  </conditionalFormatting>
  <conditionalFormatting sqref="O79">
    <cfRule type="containsBlanks" dxfId="1100" priority="9224" stopIfTrue="1">
      <formula>LEN(TRIM(O79))=0</formula>
    </cfRule>
  </conditionalFormatting>
  <conditionalFormatting sqref="N79">
    <cfRule type="containsBlanks" dxfId="1099" priority="9225" stopIfTrue="1">
      <formula>LEN(TRIM(N79))=0</formula>
    </cfRule>
  </conditionalFormatting>
  <conditionalFormatting sqref="R79">
    <cfRule type="containsBlanks" dxfId="1098" priority="9223" stopIfTrue="1">
      <formula>LEN(TRIM(R79))=0</formula>
    </cfRule>
  </conditionalFormatting>
  <conditionalFormatting sqref="R71">
    <cfRule type="containsBlanks" dxfId="1097" priority="9221" stopIfTrue="1">
      <formula>LEN(TRIM(R71))=0</formula>
    </cfRule>
  </conditionalFormatting>
  <conditionalFormatting sqref="R80">
    <cfRule type="containsBlanks" dxfId="1096" priority="9220" stopIfTrue="1">
      <formula>LEN(TRIM(R80))=0</formula>
    </cfRule>
  </conditionalFormatting>
  <conditionalFormatting sqref="P80">
    <cfRule type="containsBlanks" dxfId="1095" priority="9219" stopIfTrue="1">
      <formula>LEN(TRIM(P80))=0</formula>
    </cfRule>
  </conditionalFormatting>
  <conditionalFormatting sqref="Q80">
    <cfRule type="containsBlanks" dxfId="1094" priority="9218" stopIfTrue="1">
      <formula>LEN(TRIM(Q80))=0</formula>
    </cfRule>
  </conditionalFormatting>
  <conditionalFormatting sqref="O80">
    <cfRule type="containsBlanks" dxfId="1093" priority="9217" stopIfTrue="1">
      <formula>LEN(TRIM(O80))=0</formula>
    </cfRule>
  </conditionalFormatting>
  <conditionalFormatting sqref="W301 W305 W309 W313 W317 W321 W297 W325">
    <cfRule type="cellIs" dxfId="1092" priority="9214" stopIfTrue="1" operator="equal">
      <formula>0</formula>
    </cfRule>
  </conditionalFormatting>
  <conditionalFormatting sqref="V297 V301 V305 V309 V313">
    <cfRule type="cellIs" dxfId="1091" priority="9213" stopIfTrue="1" operator="equal">
      <formula>"ESP. ERRADA"</formula>
    </cfRule>
  </conditionalFormatting>
  <conditionalFormatting sqref="M339:M340">
    <cfRule type="containsBlanks" dxfId="1090" priority="9211" stopIfTrue="1">
      <formula>LEN(TRIM(M339))=0</formula>
    </cfRule>
  </conditionalFormatting>
  <conditionalFormatting sqref="R343">
    <cfRule type="containsBlanks" dxfId="1089" priority="9199" stopIfTrue="1">
      <formula>LEN(TRIM(R343))=0</formula>
    </cfRule>
  </conditionalFormatting>
  <conditionalFormatting sqref="M352">
    <cfRule type="containsBlanks" dxfId="1088" priority="9194" stopIfTrue="1">
      <formula>LEN(TRIM(M352))=0</formula>
    </cfRule>
  </conditionalFormatting>
  <conditionalFormatting sqref="Q352">
    <cfRule type="containsBlanks" dxfId="1087" priority="9184" stopIfTrue="1">
      <formula>LEN(TRIM(Q352))=0</formula>
    </cfRule>
  </conditionalFormatting>
  <conditionalFormatting sqref="X297">
    <cfRule type="containsBlanks" dxfId="1086" priority="9179" stopIfTrue="1">
      <formula>LEN(TRIM(X297))=0</formula>
    </cfRule>
  </conditionalFormatting>
  <conditionalFormatting sqref="W329">
    <cfRule type="cellIs" dxfId="1085" priority="9178" stopIfTrue="1" operator="equal">
      <formula>0</formula>
    </cfRule>
  </conditionalFormatting>
  <conditionalFormatting sqref="W333">
    <cfRule type="cellIs" dxfId="1084" priority="9176" stopIfTrue="1" operator="equal">
      <formula>0</formula>
    </cfRule>
  </conditionalFormatting>
  <conditionalFormatting sqref="V317">
    <cfRule type="cellIs" dxfId="1083" priority="9174" stopIfTrue="1" operator="equal">
      <formula>"ESP. ERRADA"</formula>
    </cfRule>
  </conditionalFormatting>
  <conditionalFormatting sqref="V321">
    <cfRule type="cellIs" dxfId="1082" priority="9173" stopIfTrue="1" operator="equal">
      <formula>"ESP. ERRADA"</formula>
    </cfRule>
  </conditionalFormatting>
  <conditionalFormatting sqref="V325">
    <cfRule type="cellIs" dxfId="1081" priority="9172" stopIfTrue="1" operator="equal">
      <formula>"ESP. ERRADA"</formula>
    </cfRule>
  </conditionalFormatting>
  <conditionalFormatting sqref="V329">
    <cfRule type="cellIs" dxfId="1080" priority="9171" stopIfTrue="1" operator="equal">
      <formula>"ESP. ERRADA"</formula>
    </cfRule>
  </conditionalFormatting>
  <conditionalFormatting sqref="V333">
    <cfRule type="cellIs" dxfId="1079" priority="9170" stopIfTrue="1" operator="equal">
      <formula>"ESP. ERRADA"</formula>
    </cfRule>
  </conditionalFormatting>
  <conditionalFormatting sqref="X404:X406">
    <cfRule type="containsBlanks" dxfId="1078" priority="8972" stopIfTrue="1">
      <formula>LEN(TRIM(X404))=0</formula>
    </cfRule>
  </conditionalFormatting>
  <conditionalFormatting sqref="U404">
    <cfRule type="containsBlanks" dxfId="1077" priority="8970" stopIfTrue="1">
      <formula>LEN(TRIM(U404))=0</formula>
    </cfRule>
  </conditionalFormatting>
  <conditionalFormatting sqref="M353">
    <cfRule type="containsBlanks" dxfId="1076" priority="8968" stopIfTrue="1">
      <formula>LEN(TRIM(M353))=0</formula>
    </cfRule>
  </conditionalFormatting>
  <conditionalFormatting sqref="M355">
    <cfRule type="containsBlanks" dxfId="1075" priority="8966" stopIfTrue="1">
      <formula>LEN(TRIM(M355))=0</formula>
    </cfRule>
  </conditionalFormatting>
  <conditionalFormatting sqref="M357">
    <cfRule type="containsBlanks" dxfId="1074" priority="8964" stopIfTrue="1">
      <formula>LEN(TRIM(M357))=0</formula>
    </cfRule>
  </conditionalFormatting>
  <conditionalFormatting sqref="M359">
    <cfRule type="containsBlanks" dxfId="1073" priority="8962" stopIfTrue="1">
      <formula>LEN(TRIM(M359))=0</formula>
    </cfRule>
  </conditionalFormatting>
  <conditionalFormatting sqref="M361">
    <cfRule type="containsBlanks" dxfId="1072" priority="8960" stopIfTrue="1">
      <formula>LEN(TRIM(M361))=0</formula>
    </cfRule>
  </conditionalFormatting>
  <conditionalFormatting sqref="M363">
    <cfRule type="containsBlanks" dxfId="1071" priority="8958" stopIfTrue="1">
      <formula>LEN(TRIM(M363))=0</formula>
    </cfRule>
  </conditionalFormatting>
  <conditionalFormatting sqref="M365">
    <cfRule type="containsBlanks" dxfId="1070" priority="8956" stopIfTrue="1">
      <formula>LEN(TRIM(M365))=0</formula>
    </cfRule>
  </conditionalFormatting>
  <conditionalFormatting sqref="M367">
    <cfRule type="containsBlanks" dxfId="1069" priority="8954" stopIfTrue="1">
      <formula>LEN(TRIM(M367))=0</formula>
    </cfRule>
  </conditionalFormatting>
  <conditionalFormatting sqref="M369">
    <cfRule type="containsBlanks" dxfId="1068" priority="8952" stopIfTrue="1">
      <formula>LEN(TRIM(M369))=0</formula>
    </cfRule>
  </conditionalFormatting>
  <conditionalFormatting sqref="M371">
    <cfRule type="containsBlanks" dxfId="1067" priority="8950" stopIfTrue="1">
      <formula>LEN(TRIM(M371))=0</formula>
    </cfRule>
  </conditionalFormatting>
  <conditionalFormatting sqref="M373">
    <cfRule type="containsBlanks" dxfId="1066" priority="8948" stopIfTrue="1">
      <formula>LEN(TRIM(M373))=0</formula>
    </cfRule>
  </conditionalFormatting>
  <conditionalFormatting sqref="M375">
    <cfRule type="containsBlanks" dxfId="1065" priority="8946" stopIfTrue="1">
      <formula>LEN(TRIM(M375))=0</formula>
    </cfRule>
  </conditionalFormatting>
  <conditionalFormatting sqref="M377">
    <cfRule type="containsBlanks" dxfId="1064" priority="8944" stopIfTrue="1">
      <formula>LEN(TRIM(M377))=0</formula>
    </cfRule>
  </conditionalFormatting>
  <conditionalFormatting sqref="M379">
    <cfRule type="containsBlanks" dxfId="1063" priority="8942" stopIfTrue="1">
      <formula>LEN(TRIM(M379))=0</formula>
    </cfRule>
  </conditionalFormatting>
  <conditionalFormatting sqref="M381">
    <cfRule type="containsBlanks" dxfId="1062" priority="8940" stopIfTrue="1">
      <formula>LEN(TRIM(M381))=0</formula>
    </cfRule>
  </conditionalFormatting>
  <conditionalFormatting sqref="T351:V400">
    <cfRule type="cellIs" dxfId="1061" priority="9022" operator="lessThan">
      <formula>0</formula>
    </cfRule>
  </conditionalFormatting>
  <conditionalFormatting sqref="V405:V406 V403 V408:V411">
    <cfRule type="cellIs" dxfId="1060" priority="8973" stopIfTrue="1" operator="equal">
      <formula>"ESP. ERRADA"</formula>
    </cfRule>
  </conditionalFormatting>
  <conditionalFormatting sqref="X409">
    <cfRule type="containsBlanks" dxfId="1059" priority="8969" stopIfTrue="1">
      <formula>LEN(TRIM(X409))=0</formula>
    </cfRule>
  </conditionalFormatting>
  <conditionalFormatting sqref="M356">
    <cfRule type="containsBlanks" dxfId="1058" priority="8965" stopIfTrue="1">
      <formula>LEN(TRIM(M356))=0</formula>
    </cfRule>
  </conditionalFormatting>
  <conditionalFormatting sqref="M358">
    <cfRule type="containsBlanks" dxfId="1057" priority="8963" stopIfTrue="1">
      <formula>LEN(TRIM(M358))=0</formula>
    </cfRule>
  </conditionalFormatting>
  <conditionalFormatting sqref="M360">
    <cfRule type="containsBlanks" dxfId="1056" priority="8961" stopIfTrue="1">
      <formula>LEN(TRIM(M360))=0</formula>
    </cfRule>
  </conditionalFormatting>
  <conditionalFormatting sqref="M362">
    <cfRule type="containsBlanks" dxfId="1055" priority="8959" stopIfTrue="1">
      <formula>LEN(TRIM(M362))=0</formula>
    </cfRule>
  </conditionalFormatting>
  <conditionalFormatting sqref="M364">
    <cfRule type="containsBlanks" dxfId="1054" priority="8957" stopIfTrue="1">
      <formula>LEN(TRIM(M364))=0</formula>
    </cfRule>
  </conditionalFormatting>
  <conditionalFormatting sqref="M366">
    <cfRule type="containsBlanks" dxfId="1053" priority="8955" stopIfTrue="1">
      <formula>LEN(TRIM(M366))=0</formula>
    </cfRule>
  </conditionalFormatting>
  <conditionalFormatting sqref="M368">
    <cfRule type="containsBlanks" dxfId="1052" priority="8953" stopIfTrue="1">
      <formula>LEN(TRIM(M368))=0</formula>
    </cfRule>
  </conditionalFormatting>
  <conditionalFormatting sqref="M370">
    <cfRule type="containsBlanks" dxfId="1051" priority="8951" stopIfTrue="1">
      <formula>LEN(TRIM(M370))=0</formula>
    </cfRule>
  </conditionalFormatting>
  <conditionalFormatting sqref="M372">
    <cfRule type="containsBlanks" dxfId="1050" priority="8949" stopIfTrue="1">
      <formula>LEN(TRIM(M372))=0</formula>
    </cfRule>
  </conditionalFormatting>
  <conditionalFormatting sqref="M374">
    <cfRule type="containsBlanks" dxfId="1049" priority="8947" stopIfTrue="1">
      <formula>LEN(TRIM(M374))=0</formula>
    </cfRule>
  </conditionalFormatting>
  <conditionalFormatting sqref="M376">
    <cfRule type="containsBlanks" dxfId="1048" priority="8945" stopIfTrue="1">
      <formula>LEN(TRIM(M376))=0</formula>
    </cfRule>
  </conditionalFormatting>
  <conditionalFormatting sqref="M378">
    <cfRule type="containsBlanks" dxfId="1047" priority="8943" stopIfTrue="1">
      <formula>LEN(TRIM(M378))=0</formula>
    </cfRule>
  </conditionalFormatting>
  <conditionalFormatting sqref="M380">
    <cfRule type="containsBlanks" dxfId="1046" priority="8941" stopIfTrue="1">
      <formula>LEN(TRIM(M380))=0</formula>
    </cfRule>
  </conditionalFormatting>
  <conditionalFormatting sqref="M382">
    <cfRule type="containsBlanks" dxfId="1045" priority="8939" stopIfTrue="1">
      <formula>LEN(TRIM(M382))=0</formula>
    </cfRule>
  </conditionalFormatting>
  <conditionalFormatting sqref="M383">
    <cfRule type="containsBlanks" dxfId="1044" priority="8938" stopIfTrue="1">
      <formula>LEN(TRIM(M383))=0</formula>
    </cfRule>
  </conditionalFormatting>
  <conditionalFormatting sqref="M384">
    <cfRule type="containsBlanks" dxfId="1043" priority="8937" stopIfTrue="1">
      <formula>LEN(TRIM(M384))=0</formula>
    </cfRule>
  </conditionalFormatting>
  <conditionalFormatting sqref="M385">
    <cfRule type="containsBlanks" dxfId="1042" priority="8936" stopIfTrue="1">
      <formula>LEN(TRIM(M385))=0</formula>
    </cfRule>
  </conditionalFormatting>
  <conditionalFormatting sqref="M386">
    <cfRule type="containsBlanks" dxfId="1041" priority="8935" stopIfTrue="1">
      <formula>LEN(TRIM(M386))=0</formula>
    </cfRule>
  </conditionalFormatting>
  <conditionalFormatting sqref="M387">
    <cfRule type="containsBlanks" dxfId="1040" priority="8934" stopIfTrue="1">
      <formula>LEN(TRIM(M387))=0</formula>
    </cfRule>
  </conditionalFormatting>
  <conditionalFormatting sqref="M388">
    <cfRule type="containsBlanks" dxfId="1039" priority="8933" stopIfTrue="1">
      <formula>LEN(TRIM(M388))=0</formula>
    </cfRule>
  </conditionalFormatting>
  <conditionalFormatting sqref="M389">
    <cfRule type="containsBlanks" dxfId="1038" priority="8932" stopIfTrue="1">
      <formula>LEN(TRIM(M389))=0</formula>
    </cfRule>
  </conditionalFormatting>
  <conditionalFormatting sqref="M390">
    <cfRule type="containsBlanks" dxfId="1037" priority="8931" stopIfTrue="1">
      <formula>LEN(TRIM(M390))=0</formula>
    </cfRule>
  </conditionalFormatting>
  <conditionalFormatting sqref="M391">
    <cfRule type="containsBlanks" dxfId="1036" priority="8930" stopIfTrue="1">
      <formula>LEN(TRIM(M391))=0</formula>
    </cfRule>
  </conditionalFormatting>
  <conditionalFormatting sqref="M392">
    <cfRule type="containsBlanks" dxfId="1035" priority="8929" stopIfTrue="1">
      <formula>LEN(TRIM(M392))=0</formula>
    </cfRule>
  </conditionalFormatting>
  <conditionalFormatting sqref="M393">
    <cfRule type="containsBlanks" dxfId="1034" priority="8928" stopIfTrue="1">
      <formula>LEN(TRIM(M393))=0</formula>
    </cfRule>
  </conditionalFormatting>
  <conditionalFormatting sqref="M394">
    <cfRule type="containsBlanks" dxfId="1033" priority="8927" stopIfTrue="1">
      <formula>LEN(TRIM(M394))=0</formula>
    </cfRule>
  </conditionalFormatting>
  <conditionalFormatting sqref="M395">
    <cfRule type="containsBlanks" dxfId="1032" priority="8926" stopIfTrue="1">
      <formula>LEN(TRIM(M395))=0</formula>
    </cfRule>
  </conditionalFormatting>
  <conditionalFormatting sqref="M396">
    <cfRule type="containsBlanks" dxfId="1031" priority="8925" stopIfTrue="1">
      <formula>LEN(TRIM(M396))=0</formula>
    </cfRule>
  </conditionalFormatting>
  <conditionalFormatting sqref="M397">
    <cfRule type="containsBlanks" dxfId="1030" priority="8924" stopIfTrue="1">
      <formula>LEN(TRIM(M397))=0</formula>
    </cfRule>
  </conditionalFormatting>
  <conditionalFormatting sqref="M398">
    <cfRule type="containsBlanks" dxfId="1029" priority="8923" stopIfTrue="1">
      <formula>LEN(TRIM(M398))=0</formula>
    </cfRule>
  </conditionalFormatting>
  <conditionalFormatting sqref="M399">
    <cfRule type="containsBlanks" dxfId="1028" priority="8922" stopIfTrue="1">
      <formula>LEN(TRIM(M399))=0</formula>
    </cfRule>
  </conditionalFormatting>
  <conditionalFormatting sqref="M400">
    <cfRule type="containsBlanks" dxfId="1027" priority="8921" stopIfTrue="1">
      <formula>LEN(TRIM(M400))=0</formula>
    </cfRule>
  </conditionalFormatting>
  <conditionalFormatting sqref="Q353">
    <cfRule type="containsBlanks" dxfId="1026" priority="8872" stopIfTrue="1">
      <formula>LEN(TRIM(Q353))=0</formula>
    </cfRule>
  </conditionalFormatting>
  <conditionalFormatting sqref="Q354">
    <cfRule type="containsBlanks" dxfId="1025" priority="8871" stopIfTrue="1">
      <formula>LEN(TRIM(Q354))=0</formula>
    </cfRule>
  </conditionalFormatting>
  <conditionalFormatting sqref="Q355">
    <cfRule type="containsBlanks" dxfId="1024" priority="8870" stopIfTrue="1">
      <formula>LEN(TRIM(Q355))=0</formula>
    </cfRule>
  </conditionalFormatting>
  <conditionalFormatting sqref="Q356">
    <cfRule type="containsBlanks" dxfId="1023" priority="8869" stopIfTrue="1">
      <formula>LEN(TRIM(Q356))=0</formula>
    </cfRule>
  </conditionalFormatting>
  <conditionalFormatting sqref="Q357">
    <cfRule type="containsBlanks" dxfId="1022" priority="8868" stopIfTrue="1">
      <formula>LEN(TRIM(Q357))=0</formula>
    </cfRule>
  </conditionalFormatting>
  <conditionalFormatting sqref="Q358">
    <cfRule type="containsBlanks" dxfId="1021" priority="8867" stopIfTrue="1">
      <formula>LEN(TRIM(Q358))=0</formula>
    </cfRule>
  </conditionalFormatting>
  <conditionalFormatting sqref="Q359">
    <cfRule type="containsBlanks" dxfId="1020" priority="8866" stopIfTrue="1">
      <formula>LEN(TRIM(Q359))=0</formula>
    </cfRule>
  </conditionalFormatting>
  <conditionalFormatting sqref="Q360">
    <cfRule type="containsBlanks" dxfId="1019" priority="8865" stopIfTrue="1">
      <formula>LEN(TRIM(Q360))=0</formula>
    </cfRule>
  </conditionalFormatting>
  <conditionalFormatting sqref="Q361">
    <cfRule type="containsBlanks" dxfId="1018" priority="8864" stopIfTrue="1">
      <formula>LEN(TRIM(Q361))=0</formula>
    </cfRule>
  </conditionalFormatting>
  <conditionalFormatting sqref="Q362">
    <cfRule type="containsBlanks" dxfId="1017" priority="8863" stopIfTrue="1">
      <formula>LEN(TRIM(Q362))=0</formula>
    </cfRule>
  </conditionalFormatting>
  <conditionalFormatting sqref="Q363">
    <cfRule type="containsBlanks" dxfId="1016" priority="8862" stopIfTrue="1">
      <formula>LEN(TRIM(Q363))=0</formula>
    </cfRule>
  </conditionalFormatting>
  <conditionalFormatting sqref="Q364">
    <cfRule type="containsBlanks" dxfId="1015" priority="8861" stopIfTrue="1">
      <formula>LEN(TRIM(Q364))=0</formula>
    </cfRule>
  </conditionalFormatting>
  <conditionalFormatting sqref="Q365">
    <cfRule type="containsBlanks" dxfId="1014" priority="8860" stopIfTrue="1">
      <formula>LEN(TRIM(Q365))=0</formula>
    </cfRule>
  </conditionalFormatting>
  <conditionalFormatting sqref="Q366">
    <cfRule type="containsBlanks" dxfId="1013" priority="8859" stopIfTrue="1">
      <formula>LEN(TRIM(Q366))=0</formula>
    </cfRule>
  </conditionalFormatting>
  <conditionalFormatting sqref="Q367">
    <cfRule type="containsBlanks" dxfId="1012" priority="8858" stopIfTrue="1">
      <formula>LEN(TRIM(Q367))=0</formula>
    </cfRule>
  </conditionalFormatting>
  <conditionalFormatting sqref="Q368">
    <cfRule type="containsBlanks" dxfId="1011" priority="8857" stopIfTrue="1">
      <formula>LEN(TRIM(Q368))=0</formula>
    </cfRule>
  </conditionalFormatting>
  <conditionalFormatting sqref="Q369">
    <cfRule type="containsBlanks" dxfId="1010" priority="8856" stopIfTrue="1">
      <formula>LEN(TRIM(Q369))=0</formula>
    </cfRule>
  </conditionalFormatting>
  <conditionalFormatting sqref="Q370">
    <cfRule type="containsBlanks" dxfId="1009" priority="8855" stopIfTrue="1">
      <formula>LEN(TRIM(Q370))=0</formula>
    </cfRule>
  </conditionalFormatting>
  <conditionalFormatting sqref="Q371">
    <cfRule type="containsBlanks" dxfId="1008" priority="8854" stopIfTrue="1">
      <formula>LEN(TRIM(Q371))=0</formula>
    </cfRule>
  </conditionalFormatting>
  <conditionalFormatting sqref="Q372">
    <cfRule type="containsBlanks" dxfId="1007" priority="8853" stopIfTrue="1">
      <formula>LEN(TRIM(Q372))=0</formula>
    </cfRule>
  </conditionalFormatting>
  <conditionalFormatting sqref="Q373">
    <cfRule type="containsBlanks" dxfId="1006" priority="8852" stopIfTrue="1">
      <formula>LEN(TRIM(Q373))=0</formula>
    </cfRule>
  </conditionalFormatting>
  <conditionalFormatting sqref="Q374">
    <cfRule type="containsBlanks" dxfId="1005" priority="8851" stopIfTrue="1">
      <formula>LEN(TRIM(Q374))=0</formula>
    </cfRule>
  </conditionalFormatting>
  <conditionalFormatting sqref="Q375">
    <cfRule type="containsBlanks" dxfId="1004" priority="8850" stopIfTrue="1">
      <formula>LEN(TRIM(Q375))=0</formula>
    </cfRule>
  </conditionalFormatting>
  <conditionalFormatting sqref="Q376">
    <cfRule type="containsBlanks" dxfId="1003" priority="8849" stopIfTrue="1">
      <formula>LEN(TRIM(Q376))=0</formula>
    </cfRule>
  </conditionalFormatting>
  <conditionalFormatting sqref="Q377">
    <cfRule type="containsBlanks" dxfId="1002" priority="8848" stopIfTrue="1">
      <formula>LEN(TRIM(Q377))=0</formula>
    </cfRule>
  </conditionalFormatting>
  <conditionalFormatting sqref="Q378">
    <cfRule type="containsBlanks" dxfId="1001" priority="8847" stopIfTrue="1">
      <formula>LEN(TRIM(Q378))=0</formula>
    </cfRule>
  </conditionalFormatting>
  <conditionalFormatting sqref="Q379">
    <cfRule type="containsBlanks" dxfId="1000" priority="8846" stopIfTrue="1">
      <formula>LEN(TRIM(Q379))=0</formula>
    </cfRule>
  </conditionalFormatting>
  <conditionalFormatting sqref="Q380">
    <cfRule type="containsBlanks" dxfId="999" priority="8845" stopIfTrue="1">
      <formula>LEN(TRIM(Q380))=0</formula>
    </cfRule>
  </conditionalFormatting>
  <conditionalFormatting sqref="Q381">
    <cfRule type="containsBlanks" dxfId="998" priority="8844" stopIfTrue="1">
      <formula>LEN(TRIM(Q381))=0</formula>
    </cfRule>
  </conditionalFormatting>
  <conditionalFormatting sqref="Q382">
    <cfRule type="containsBlanks" dxfId="997" priority="8843" stopIfTrue="1">
      <formula>LEN(TRIM(Q382))=0</formula>
    </cfRule>
  </conditionalFormatting>
  <conditionalFormatting sqref="Q383">
    <cfRule type="containsBlanks" dxfId="996" priority="8842" stopIfTrue="1">
      <formula>LEN(TRIM(Q383))=0</formula>
    </cfRule>
  </conditionalFormatting>
  <conditionalFormatting sqref="Q384">
    <cfRule type="containsBlanks" dxfId="995" priority="8841" stopIfTrue="1">
      <formula>LEN(TRIM(Q384))=0</formula>
    </cfRule>
  </conditionalFormatting>
  <conditionalFormatting sqref="Q385">
    <cfRule type="containsBlanks" dxfId="994" priority="8840" stopIfTrue="1">
      <formula>LEN(TRIM(Q385))=0</formula>
    </cfRule>
  </conditionalFormatting>
  <conditionalFormatting sqref="Q386">
    <cfRule type="containsBlanks" dxfId="993" priority="8839" stopIfTrue="1">
      <formula>LEN(TRIM(Q386))=0</formula>
    </cfRule>
  </conditionalFormatting>
  <conditionalFormatting sqref="Q387">
    <cfRule type="containsBlanks" dxfId="992" priority="8838" stopIfTrue="1">
      <formula>LEN(TRIM(Q387))=0</formula>
    </cfRule>
  </conditionalFormatting>
  <conditionalFormatting sqref="Q388">
    <cfRule type="containsBlanks" dxfId="991" priority="8837" stopIfTrue="1">
      <formula>LEN(TRIM(Q388))=0</formula>
    </cfRule>
  </conditionalFormatting>
  <conditionalFormatting sqref="Q389">
    <cfRule type="containsBlanks" dxfId="990" priority="8836" stopIfTrue="1">
      <formula>LEN(TRIM(Q389))=0</formula>
    </cfRule>
  </conditionalFormatting>
  <conditionalFormatting sqref="Q390">
    <cfRule type="containsBlanks" dxfId="989" priority="8835" stopIfTrue="1">
      <formula>LEN(TRIM(Q390))=0</formula>
    </cfRule>
  </conditionalFormatting>
  <conditionalFormatting sqref="Q391">
    <cfRule type="containsBlanks" dxfId="988" priority="8834" stopIfTrue="1">
      <formula>LEN(TRIM(Q391))=0</formula>
    </cfRule>
  </conditionalFormatting>
  <conditionalFormatting sqref="Q392">
    <cfRule type="containsBlanks" dxfId="987" priority="8833" stopIfTrue="1">
      <formula>LEN(TRIM(Q392))=0</formula>
    </cfRule>
  </conditionalFormatting>
  <conditionalFormatting sqref="Q393">
    <cfRule type="containsBlanks" dxfId="986" priority="8832" stopIfTrue="1">
      <formula>LEN(TRIM(Q393))=0</formula>
    </cfRule>
  </conditionalFormatting>
  <conditionalFormatting sqref="Q394">
    <cfRule type="containsBlanks" dxfId="985" priority="8831" stopIfTrue="1">
      <formula>LEN(TRIM(Q394))=0</formula>
    </cfRule>
  </conditionalFormatting>
  <conditionalFormatting sqref="Q395">
    <cfRule type="containsBlanks" dxfId="984" priority="8830" stopIfTrue="1">
      <formula>LEN(TRIM(Q395))=0</formula>
    </cfRule>
  </conditionalFormatting>
  <conditionalFormatting sqref="Q396">
    <cfRule type="containsBlanks" dxfId="983" priority="8829" stopIfTrue="1">
      <formula>LEN(TRIM(Q396))=0</formula>
    </cfRule>
  </conditionalFormatting>
  <conditionalFormatting sqref="Q397">
    <cfRule type="containsBlanks" dxfId="982" priority="8828" stopIfTrue="1">
      <formula>LEN(TRIM(Q397))=0</formula>
    </cfRule>
  </conditionalFormatting>
  <conditionalFormatting sqref="Q398">
    <cfRule type="containsBlanks" dxfId="981" priority="8827" stopIfTrue="1">
      <formula>LEN(TRIM(Q398))=0</formula>
    </cfRule>
  </conditionalFormatting>
  <conditionalFormatting sqref="Q399">
    <cfRule type="containsBlanks" dxfId="980" priority="8826" stopIfTrue="1">
      <formula>LEN(TRIM(Q399))=0</formula>
    </cfRule>
  </conditionalFormatting>
  <conditionalFormatting sqref="Q400">
    <cfRule type="containsBlanks" dxfId="979" priority="8825" stopIfTrue="1">
      <formula>LEN(TRIM(Q400))=0</formula>
    </cfRule>
  </conditionalFormatting>
  <conditionalFormatting sqref="O339:O343">
    <cfRule type="cellIs" dxfId="978" priority="8821" operator="notEqual">
      <formula>$O$339</formula>
    </cfRule>
    <cfRule type="cellIs" dxfId="977" priority="8822" operator="equal">
      <formula>$O$339</formula>
    </cfRule>
  </conditionalFormatting>
  <conditionalFormatting sqref="N339:N343">
    <cfRule type="cellIs" dxfId="976" priority="8819" operator="notEqual">
      <formula>$N$339</formula>
    </cfRule>
    <cfRule type="cellIs" dxfId="975" priority="8820" operator="equal">
      <formula>$N$339</formula>
    </cfRule>
  </conditionalFormatting>
  <conditionalFormatting sqref="N71">
    <cfRule type="containsBlanks" dxfId="974" priority="8790" stopIfTrue="1">
      <formula>LEN(TRIM(N71))=0</formula>
    </cfRule>
  </conditionalFormatting>
  <conditionalFormatting sqref="O71">
    <cfRule type="containsBlanks" dxfId="973" priority="8789" stopIfTrue="1">
      <formula>LEN(TRIM(O71))=0</formula>
    </cfRule>
  </conditionalFormatting>
  <conditionalFormatting sqref="P71">
    <cfRule type="containsBlanks" dxfId="972" priority="8788" stopIfTrue="1">
      <formula>LEN(TRIM(P71))=0</formula>
    </cfRule>
  </conditionalFormatting>
  <conditionalFormatting sqref="Q71">
    <cfRule type="containsBlanks" dxfId="971" priority="8787" stopIfTrue="1">
      <formula>LEN(TRIM(Q71))=0</formula>
    </cfRule>
  </conditionalFormatting>
  <conditionalFormatting sqref="R93">
    <cfRule type="containsBlanks" dxfId="970" priority="8786" stopIfTrue="1">
      <formula>LEN(TRIM(R93))=0</formula>
    </cfRule>
  </conditionalFormatting>
  <conditionalFormatting sqref="W98">
    <cfRule type="cellIs" dxfId="969" priority="8776" stopIfTrue="1" operator="equal">
      <formula>0</formula>
    </cfRule>
  </conditionalFormatting>
  <conditionalFormatting sqref="U101">
    <cfRule type="containsBlanks" dxfId="968" priority="8771" stopIfTrue="1">
      <formula>LEN(TRIM(U101))=0</formula>
    </cfRule>
  </conditionalFormatting>
  <conditionalFormatting sqref="U102">
    <cfRule type="containsBlanks" dxfId="967" priority="8767" stopIfTrue="1">
      <formula>LEN(TRIM(U102))=0</formula>
    </cfRule>
  </conditionalFormatting>
  <conditionalFormatting sqref="X99">
    <cfRule type="containsBlanks" dxfId="966" priority="8775" stopIfTrue="1">
      <formula>LEN(TRIM(X99))=0</formula>
    </cfRule>
  </conditionalFormatting>
  <conditionalFormatting sqref="X98">
    <cfRule type="containsBlanks" dxfId="965" priority="8766" stopIfTrue="1">
      <formula>LEN(TRIM(X98))=0</formula>
    </cfRule>
  </conditionalFormatting>
  <conditionalFormatting sqref="X609">
    <cfRule type="containsBlanks" dxfId="964" priority="8759" stopIfTrue="1">
      <formula>LEN(TRIM(X609))=0</formula>
    </cfRule>
  </conditionalFormatting>
  <conditionalFormatting sqref="W607">
    <cfRule type="cellIs" dxfId="963" priority="8758" stopIfTrue="1" operator="equal">
      <formula>0</formula>
    </cfRule>
  </conditionalFormatting>
  <conditionalFormatting sqref="M611">
    <cfRule type="containsBlanks" dxfId="962" priority="8757" stopIfTrue="1">
      <formula>LEN(TRIM(M611))=0</formula>
    </cfRule>
  </conditionalFormatting>
  <conditionalFormatting sqref="B20">
    <cfRule type="containsBlanks" dxfId="961" priority="8756" stopIfTrue="1">
      <formula>LEN(TRIM(B20))=0</formula>
    </cfRule>
  </conditionalFormatting>
  <conditionalFormatting sqref="B21">
    <cfRule type="containsBlanks" dxfId="960" priority="8755" stopIfTrue="1">
      <formula>LEN(TRIM(B21))=0</formula>
    </cfRule>
  </conditionalFormatting>
  <conditionalFormatting sqref="C339">
    <cfRule type="containsBlanks" dxfId="959" priority="8754" stopIfTrue="1">
      <formula>LEN(TRIM(C339))=0</formula>
    </cfRule>
  </conditionalFormatting>
  <conditionalFormatting sqref="C342">
    <cfRule type="containsBlanks" dxfId="958" priority="8753" stopIfTrue="1">
      <formula>LEN(TRIM(C342))=0</formula>
    </cfRule>
  </conditionalFormatting>
  <conditionalFormatting sqref="C345">
    <cfRule type="containsBlanks" dxfId="957" priority="8752" stopIfTrue="1">
      <formula>LEN(TRIM(C345))=0</formula>
    </cfRule>
  </conditionalFormatting>
  <conditionalFormatting sqref="P603">
    <cfRule type="containsBlanks" dxfId="956" priority="8386" stopIfTrue="1">
      <formula>LEN(TRIM(P603))=0</formula>
    </cfRule>
  </conditionalFormatting>
  <conditionalFormatting sqref="U596">
    <cfRule type="containsBlanks" dxfId="955" priority="8378" stopIfTrue="1">
      <formula>LEN(TRIM(U596))=0</formula>
    </cfRule>
  </conditionalFormatting>
  <conditionalFormatting sqref="B69">
    <cfRule type="containsBlanks" dxfId="954" priority="8366" stopIfTrue="1">
      <formula>LEN(TRIM(B69))=0</formula>
    </cfRule>
  </conditionalFormatting>
  <conditionalFormatting sqref="B78">
    <cfRule type="containsBlanks" dxfId="953" priority="8363" stopIfTrue="1">
      <formula>LEN(TRIM(B78))=0</formula>
    </cfRule>
  </conditionalFormatting>
  <conditionalFormatting sqref="B79">
    <cfRule type="containsBlanks" dxfId="952" priority="8362" stopIfTrue="1">
      <formula>LEN(TRIM(B79))=0</formula>
    </cfRule>
  </conditionalFormatting>
  <conditionalFormatting sqref="B80">
    <cfRule type="containsBlanks" dxfId="951" priority="8361" stopIfTrue="1">
      <formula>LEN(TRIM(B80))=0</formula>
    </cfRule>
  </conditionalFormatting>
  <conditionalFormatting sqref="B71">
    <cfRule type="containsBlanks" dxfId="950" priority="8364" stopIfTrue="1">
      <formula>LEN(TRIM(B71))=0</formula>
    </cfRule>
  </conditionalFormatting>
  <conditionalFormatting sqref="R603">
    <cfRule type="containsBlanks" dxfId="949" priority="8383" stopIfTrue="1">
      <formula>LEN(TRIM(R603))=0</formula>
    </cfRule>
  </conditionalFormatting>
  <conditionalFormatting sqref="U595 X592 N592 X594">
    <cfRule type="containsBlanks" dxfId="948" priority="8382" stopIfTrue="1">
      <formula>LEN(TRIM(N592))=0</formula>
    </cfRule>
  </conditionalFormatting>
  <conditionalFormatting sqref="W600">
    <cfRule type="cellIs" dxfId="947" priority="8396" stopIfTrue="1" operator="equal">
      <formula>0</formula>
    </cfRule>
  </conditionalFormatting>
  <conditionalFormatting sqref="V603">
    <cfRule type="cellIs" dxfId="946" priority="8400" stopIfTrue="1" operator="equal">
      <formula>"ESP. ERRADA"</formula>
    </cfRule>
  </conditionalFormatting>
  <conditionalFormatting sqref="U603 X600:X602">
    <cfRule type="containsBlanks" dxfId="945" priority="8401" stopIfTrue="1">
      <formula>LEN(TRIM(U600))=0</formula>
    </cfRule>
  </conditionalFormatting>
  <conditionalFormatting sqref="S603">
    <cfRule type="containsBlanks" dxfId="944" priority="8385" stopIfTrue="1">
      <formula>LEN(TRIM(S603))=0</formula>
    </cfRule>
  </conditionalFormatting>
  <conditionalFormatting sqref="W592">
    <cfRule type="cellIs" dxfId="943" priority="8377" stopIfTrue="1" operator="equal">
      <formula>0</formula>
    </cfRule>
  </conditionalFormatting>
  <conditionalFormatting sqref="B43">
    <cfRule type="containsBlanks" dxfId="942" priority="8368" stopIfTrue="1">
      <formula>LEN(TRIM(B43))=0</formula>
    </cfRule>
  </conditionalFormatting>
  <conditionalFormatting sqref="B44">
    <cfRule type="containsBlanks" dxfId="941" priority="8367" stopIfTrue="1">
      <formula>LEN(TRIM(B44))=0</formula>
    </cfRule>
  </conditionalFormatting>
  <conditionalFormatting sqref="B70">
    <cfRule type="containsBlanks" dxfId="940" priority="8365" stopIfTrue="1">
      <formula>LEN(TRIM(B70))=0</formula>
    </cfRule>
  </conditionalFormatting>
  <conditionalFormatting sqref="P52 S52 U52">
    <cfRule type="containsBlanks" dxfId="939" priority="7999" stopIfTrue="1">
      <formula>LEN(TRIM(P52))=0</formula>
    </cfRule>
  </conditionalFormatting>
  <conditionalFormatting sqref="X50 M51 U51 X48">
    <cfRule type="containsBlanks" dxfId="938" priority="8001" stopIfTrue="1">
      <formula>LEN(TRIM(M48))=0</formula>
    </cfRule>
  </conditionalFormatting>
  <conditionalFormatting sqref="W48">
    <cfRule type="cellIs" dxfId="937" priority="8000" stopIfTrue="1" operator="equal">
      <formula>0</formula>
    </cfRule>
  </conditionalFormatting>
  <conditionalFormatting sqref="B51">
    <cfRule type="containsBlanks" dxfId="936" priority="7998" stopIfTrue="1">
      <formula>LEN(TRIM(B51))=0</formula>
    </cfRule>
  </conditionalFormatting>
  <conditionalFormatting sqref="B52">
    <cfRule type="containsBlanks" dxfId="935" priority="7997" stopIfTrue="1">
      <formula>LEN(TRIM(B52))=0</formula>
    </cfRule>
  </conditionalFormatting>
  <conditionalFormatting sqref="W59">
    <cfRule type="cellIs" dxfId="934" priority="7996" stopIfTrue="1" operator="equal">
      <formula>0</formula>
    </cfRule>
  </conditionalFormatting>
  <conditionalFormatting sqref="X59">
    <cfRule type="containsBlanks" dxfId="933" priority="7994" stopIfTrue="1">
      <formula>LEN(TRIM(X59))=0</formula>
    </cfRule>
  </conditionalFormatting>
  <conditionalFormatting sqref="R60">
    <cfRule type="containsBlanks" dxfId="932" priority="7993" stopIfTrue="1">
      <formula>LEN(TRIM(R60))=0</formula>
    </cfRule>
  </conditionalFormatting>
  <conditionalFormatting sqref="X212:X214">
    <cfRule type="containsBlanks" dxfId="931" priority="7989" stopIfTrue="1">
      <formula>LEN(TRIM(X212))=0</formula>
    </cfRule>
  </conditionalFormatting>
  <conditionalFormatting sqref="B158 O159 U149 X149">
    <cfRule type="containsBlanks" dxfId="930" priority="7992" stopIfTrue="1">
      <formula>LEN(TRIM(B149))=0</formula>
    </cfRule>
  </conditionalFormatting>
  <conditionalFormatting sqref="U212">
    <cfRule type="containsBlanks" dxfId="929" priority="7987" stopIfTrue="1">
      <formula>LEN(TRIM(U212))=0</formula>
    </cfRule>
  </conditionalFormatting>
  <conditionalFormatting sqref="X217">
    <cfRule type="containsBlanks" dxfId="928" priority="7986" stopIfTrue="1">
      <formula>LEN(TRIM(X217))=0</formula>
    </cfRule>
  </conditionalFormatting>
  <conditionalFormatting sqref="V213:V214 V211 V216:V220">
    <cfRule type="cellIs" dxfId="927" priority="7990" stopIfTrue="1" operator="equal">
      <formula>"ESP. ERRADA"</formula>
    </cfRule>
  </conditionalFormatting>
  <conditionalFormatting sqref="X118">
    <cfRule type="containsBlanks" dxfId="926" priority="7971" stopIfTrue="1">
      <formula>LEN(TRIM(X118))=0</formula>
    </cfRule>
  </conditionalFormatting>
  <conditionalFormatting sqref="O160:O208">
    <cfRule type="containsBlanks" dxfId="925" priority="7984" stopIfTrue="1">
      <formula>LEN(TRIM(O160))=0</formula>
    </cfRule>
  </conditionalFormatting>
  <conditionalFormatting sqref="B110">
    <cfRule type="containsBlanks" dxfId="924" priority="7969" stopIfTrue="1">
      <formula>LEN(TRIM(B110))=0</formula>
    </cfRule>
  </conditionalFormatting>
  <conditionalFormatting sqref="W106">
    <cfRule type="cellIs" dxfId="923" priority="7977" stopIfTrue="1" operator="equal">
      <formula>0</formula>
    </cfRule>
  </conditionalFormatting>
  <conditionalFormatting sqref="U110">
    <cfRule type="containsBlanks" dxfId="922" priority="7978" stopIfTrue="1">
      <formula>LEN(TRIM(U110))=0</formula>
    </cfRule>
  </conditionalFormatting>
  <conditionalFormatting sqref="P109 S109 U109 X106:X108 N106">
    <cfRule type="containsBlanks" dxfId="921" priority="7982" stopIfTrue="1">
      <formula>LEN(TRIM(N106))=0</formula>
    </cfRule>
  </conditionalFormatting>
  <conditionalFormatting sqref="M596">
    <cfRule type="containsBlanks" dxfId="920" priority="7979" stopIfTrue="1">
      <formula>LEN(TRIM(M596))=0</formula>
    </cfRule>
  </conditionalFormatting>
  <conditionalFormatting sqref="U24">
    <cfRule type="containsBlanks" dxfId="919" priority="7961" stopIfTrue="1">
      <formula>LEN(TRIM(U24))=0</formula>
    </cfRule>
  </conditionalFormatting>
  <conditionalFormatting sqref="X113:X115">
    <cfRule type="containsBlanks" dxfId="918" priority="7974" stopIfTrue="1">
      <formula>LEN(TRIM(X113))=0</formula>
    </cfRule>
  </conditionalFormatting>
  <conditionalFormatting sqref="U113">
    <cfRule type="containsBlanks" dxfId="917" priority="7972" stopIfTrue="1">
      <formula>LEN(TRIM(U113))=0</formula>
    </cfRule>
  </conditionalFormatting>
  <conditionalFormatting sqref="V114:V115 V112 V117:V121">
    <cfRule type="cellIs" dxfId="916" priority="7975" stopIfTrue="1" operator="equal">
      <formula>"ESP. ERRADA"</formula>
    </cfRule>
  </conditionalFormatting>
  <conditionalFormatting sqref="W113">
    <cfRule type="cellIs" dxfId="915" priority="7973" stopIfTrue="1" operator="equal">
      <formula>0</formula>
    </cfRule>
  </conditionalFormatting>
  <conditionalFormatting sqref="W118">
    <cfRule type="cellIs" dxfId="914" priority="7976" stopIfTrue="1" operator="equal">
      <formula>0</formula>
    </cfRule>
  </conditionalFormatting>
  <conditionalFormatting sqref="B109">
    <cfRule type="containsBlanks" dxfId="913" priority="7970" stopIfTrue="1">
      <formula>LEN(TRIM(B109))=0</formula>
    </cfRule>
  </conditionalFormatting>
  <conditionalFormatting sqref="X29">
    <cfRule type="containsBlanks" dxfId="912" priority="7966" stopIfTrue="1">
      <formula>LEN(TRIM(X29))=0</formula>
    </cfRule>
  </conditionalFormatting>
  <conditionalFormatting sqref="U34">
    <cfRule type="containsBlanks" dxfId="911" priority="7959" stopIfTrue="1">
      <formula>LEN(TRIM(U34))=0</formula>
    </cfRule>
  </conditionalFormatting>
  <conditionalFormatting sqref="V28:V32">
    <cfRule type="cellIs" dxfId="910" priority="7967" stopIfTrue="1" operator="equal">
      <formula>"ESP. ERRADA"</formula>
    </cfRule>
  </conditionalFormatting>
  <conditionalFormatting sqref="W29">
    <cfRule type="cellIs" dxfId="909" priority="7968" stopIfTrue="1" operator="equal">
      <formula>0</formula>
    </cfRule>
  </conditionalFormatting>
  <conditionalFormatting sqref="X34">
    <cfRule type="containsBlanks" dxfId="908" priority="7963" stopIfTrue="1">
      <formula>LEN(TRIM(X34))=0</formula>
    </cfRule>
  </conditionalFormatting>
  <conditionalFormatting sqref="V33:V37">
    <cfRule type="cellIs" dxfId="907" priority="7964" stopIfTrue="1" operator="equal">
      <formula>"ESP. ERRADA"</formula>
    </cfRule>
  </conditionalFormatting>
  <conditionalFormatting sqref="W34">
    <cfRule type="cellIs" dxfId="906" priority="7965" stopIfTrue="1" operator="equal">
      <formula>0</formula>
    </cfRule>
  </conditionalFormatting>
  <conditionalFormatting sqref="U29">
    <cfRule type="containsBlanks" dxfId="905" priority="7960" stopIfTrue="1">
      <formula>LEN(TRIM(U29))=0</formula>
    </cfRule>
  </conditionalFormatting>
  <conditionalFormatting sqref="X92">
    <cfRule type="containsBlanks" dxfId="904" priority="7563" stopIfTrue="1">
      <formula>LEN(TRIM(X92))=0</formula>
    </cfRule>
  </conditionalFormatting>
  <conditionalFormatting sqref="X93">
    <cfRule type="containsBlanks" dxfId="903" priority="7562" stopIfTrue="1">
      <formula>LEN(TRIM(X93))=0</formula>
    </cfRule>
  </conditionalFormatting>
  <conditionalFormatting sqref="X607">
    <cfRule type="containsBlanks" dxfId="902" priority="7561" stopIfTrue="1">
      <formula>LEN(TRIM(X607))=0</formula>
    </cfRule>
  </conditionalFormatting>
  <conditionalFormatting sqref="X608">
    <cfRule type="containsBlanks" dxfId="901" priority="7560" stopIfTrue="1">
      <formula>LEN(TRIM(X608))=0</formula>
    </cfRule>
  </conditionalFormatting>
  <conditionalFormatting sqref="X581:X583">
    <cfRule type="containsBlanks" dxfId="900" priority="7553" stopIfTrue="1">
      <formula>LEN(TRIM(X581))=0</formula>
    </cfRule>
  </conditionalFormatting>
  <conditionalFormatting sqref="V582:V583 V580 V585:V588">
    <cfRule type="cellIs" dxfId="899" priority="7554" stopIfTrue="1" operator="equal">
      <formula>"ESP. ERRADA"</formula>
    </cfRule>
  </conditionalFormatting>
  <conditionalFormatting sqref="Q518">
    <cfRule type="containsBlanks" dxfId="898" priority="7558" stopIfTrue="1">
      <formula>LEN(TRIM(Q518))=0</formula>
    </cfRule>
  </conditionalFormatting>
  <conditionalFormatting sqref="B527 U518 X518">
    <cfRule type="containsBlanks" dxfId="897" priority="7559" stopIfTrue="1">
      <formula>LEN(TRIM(B518))=0</formula>
    </cfRule>
  </conditionalFormatting>
  <conditionalFormatting sqref="X586">
    <cfRule type="containsBlanks" dxfId="896" priority="7550" stopIfTrue="1">
      <formula>LEN(TRIM(X586))=0</formula>
    </cfRule>
  </conditionalFormatting>
  <conditionalFormatting sqref="U581">
    <cfRule type="containsBlanks" dxfId="895" priority="7551" stopIfTrue="1">
      <formula>LEN(TRIM(U581))=0</formula>
    </cfRule>
  </conditionalFormatting>
  <conditionalFormatting sqref="B524">
    <cfRule type="containsBlanks" dxfId="894" priority="7546" stopIfTrue="1">
      <formula>LEN(TRIM(B524))=0</formula>
    </cfRule>
  </conditionalFormatting>
  <conditionalFormatting sqref="N124">
    <cfRule type="containsBlanks" dxfId="893" priority="7540" stopIfTrue="1">
      <formula>LEN(TRIM(N124))=0</formula>
    </cfRule>
  </conditionalFormatting>
  <conditionalFormatting sqref="X507:X509">
    <cfRule type="containsBlanks" dxfId="892" priority="7536" stopIfTrue="1">
      <formula>LEN(TRIM(X507))=0</formula>
    </cfRule>
  </conditionalFormatting>
  <conditionalFormatting sqref="B495 B497 B502 M493 O493 O503 T493:V493 X493 B499">
    <cfRule type="containsBlanks" dxfId="891" priority="7539" stopIfTrue="1">
      <formula>LEN(TRIM(B493))=0</formula>
    </cfRule>
  </conditionalFormatting>
  <conditionalFormatting sqref="U507">
    <cfRule type="containsBlanks" dxfId="890" priority="7534" stopIfTrue="1">
      <formula>LEN(TRIM(U507))=0</formula>
    </cfRule>
  </conditionalFormatting>
  <conditionalFormatting sqref="X512">
    <cfRule type="containsBlanks" dxfId="889" priority="7533" stopIfTrue="1">
      <formula>LEN(TRIM(X512))=0</formula>
    </cfRule>
  </conditionalFormatting>
  <conditionalFormatting sqref="V508:V509 V506 V511:V515">
    <cfRule type="cellIs" dxfId="888" priority="7537" stopIfTrue="1" operator="equal">
      <formula>"ESP. ERRADA"</formula>
    </cfRule>
  </conditionalFormatting>
  <conditionalFormatting sqref="N493">
    <cfRule type="containsBlanks" dxfId="887" priority="7532" stopIfTrue="1">
      <formula>LEN(TRIM(N493))=0</formula>
    </cfRule>
  </conditionalFormatting>
  <conditionalFormatting sqref="Q351">
    <cfRule type="containsBlanks" dxfId="886" priority="5612" stopIfTrue="1">
      <formula>LEN(TRIM(Q351))=0</formula>
    </cfRule>
  </conditionalFormatting>
  <conditionalFormatting sqref="O351:O400">
    <cfRule type="containsBlanks" dxfId="885" priority="5611" stopIfTrue="1">
      <formula>LEN(TRIM(O351))=0</formula>
    </cfRule>
  </conditionalFormatting>
  <conditionalFormatting sqref="M351">
    <cfRule type="containsBlanks" dxfId="884" priority="5610" stopIfTrue="1">
      <formula>LEN(TRIM(M351))=0</formula>
    </cfRule>
  </conditionalFormatting>
  <conditionalFormatting sqref="M354">
    <cfRule type="containsBlanks" dxfId="883" priority="5605" stopIfTrue="1">
      <formula>LEN(TRIM(M354))=0</formula>
    </cfRule>
  </conditionalFormatting>
  <conditionalFormatting sqref="X17">
    <cfRule type="containsBlanks" dxfId="882" priority="5067" stopIfTrue="1">
      <formula>LEN(TRIM(X17))=0</formula>
    </cfRule>
  </conditionalFormatting>
  <conditionalFormatting sqref="R341">
    <cfRule type="containsBlanks" dxfId="881" priority="5000" stopIfTrue="1">
      <formula>LEN(TRIM(R341))=0</formula>
    </cfRule>
  </conditionalFormatting>
  <conditionalFormatting sqref="R342">
    <cfRule type="containsBlanks" dxfId="880" priority="4999" stopIfTrue="1">
      <formula>LEN(TRIM(R342))=0</formula>
    </cfRule>
  </conditionalFormatting>
  <conditionalFormatting sqref="M341">
    <cfRule type="containsBlanks" dxfId="879" priority="4996" stopIfTrue="1">
      <formula>LEN(TRIM(M341))=0</formula>
    </cfRule>
  </conditionalFormatting>
  <conditionalFormatting sqref="M342">
    <cfRule type="containsBlanks" dxfId="878" priority="4995" stopIfTrue="1">
      <formula>LEN(TRIM(M342))=0</formula>
    </cfRule>
  </conditionalFormatting>
  <conditionalFormatting sqref="M343">
    <cfRule type="containsBlanks" dxfId="877" priority="4994" stopIfTrue="1">
      <formula>LEN(TRIM(M343))=0</formula>
    </cfRule>
  </conditionalFormatting>
  <conditionalFormatting sqref="M223 O223">
    <cfRule type="containsBlanks" dxfId="876" priority="4993" stopIfTrue="1">
      <formula>LEN(TRIM(M223))=0</formula>
    </cfRule>
  </conditionalFormatting>
  <conditionalFormatting sqref="N223">
    <cfRule type="containsBlanks" dxfId="875" priority="4992" stopIfTrue="1">
      <formula>LEN(TRIM(N223))=0</formula>
    </cfRule>
  </conditionalFormatting>
  <conditionalFormatting sqref="Q223">
    <cfRule type="containsBlanks" dxfId="874" priority="4991" stopIfTrue="1">
      <formula>LEN(TRIM(Q223))=0</formula>
    </cfRule>
  </conditionalFormatting>
  <conditionalFormatting sqref="B229">
    <cfRule type="containsBlanks" dxfId="873" priority="4990" stopIfTrue="1">
      <formula>LEN(TRIM(B229))=0</formula>
    </cfRule>
  </conditionalFormatting>
  <conditionalFormatting sqref="B230">
    <cfRule type="containsBlanks" dxfId="872" priority="4989" stopIfTrue="1">
      <formula>LEN(TRIM(B230))=0</formula>
    </cfRule>
  </conditionalFormatting>
  <conditionalFormatting sqref="R223">
    <cfRule type="containsBlanks" dxfId="871" priority="4988" stopIfTrue="1">
      <formula>LEN(TRIM(R223))=0</formula>
    </cfRule>
  </conditionalFormatting>
  <conditionalFormatting sqref="O234:O283">
    <cfRule type="containsBlanks" dxfId="870" priority="4987" stopIfTrue="1">
      <formula>LEN(TRIM(O234))=0</formula>
    </cfRule>
  </conditionalFormatting>
  <conditionalFormatting sqref="B130">
    <cfRule type="containsBlanks" dxfId="869" priority="4984" stopIfTrue="1">
      <formula>LEN(TRIM(B130))=0</formula>
    </cfRule>
  </conditionalFormatting>
  <conditionalFormatting sqref="B131">
    <cfRule type="containsBlanks" dxfId="868" priority="4983" stopIfTrue="1">
      <formula>LEN(TRIM(B131))=0</formula>
    </cfRule>
  </conditionalFormatting>
  <conditionalFormatting sqref="S351:S400">
    <cfRule type="containsBlanks" dxfId="867" priority="4982">
      <formula>LEN(TRIM(S351))=0</formula>
    </cfRule>
  </conditionalFormatting>
  <conditionalFormatting sqref="S529:T578 T503:U503">
    <cfRule type="cellIs" dxfId="866" priority="9945" operator="greaterThan">
      <formula>1+$I$529</formula>
    </cfRule>
  </conditionalFormatting>
  <conditionalFormatting sqref="T529:T578">
    <cfRule type="cellIs" dxfId="865" priority="9947" operator="lessThan">
      <formula>-1-$I$529</formula>
    </cfRule>
  </conditionalFormatting>
  <conditionalFormatting sqref="O529:O578">
    <cfRule type="containsBlanks" dxfId="864" priority="4981" stopIfTrue="1">
      <formula>LEN(TRIM(O529))=0</formula>
    </cfRule>
  </conditionalFormatting>
  <conditionalFormatting sqref="S234:T283">
    <cfRule type="cellIs" dxfId="863" priority="9949" operator="greaterThan">
      <formula>1+$K$234</formula>
    </cfRule>
  </conditionalFormatting>
  <conditionalFormatting sqref="P110">
    <cfRule type="containsBlanks" dxfId="862" priority="4937" stopIfTrue="1">
      <formula>LEN(TRIM(P110))=0</formula>
    </cfRule>
  </conditionalFormatting>
  <conditionalFormatting sqref="X18">
    <cfRule type="containsBlanks" dxfId="861" priority="4936" stopIfTrue="1">
      <formula>LEN(TRIM(X18))=0</formula>
    </cfRule>
  </conditionalFormatting>
  <conditionalFormatting sqref="P20 S20">
    <cfRule type="containsBlanks" dxfId="860" priority="4935" stopIfTrue="1">
      <formula>LEN(TRIM(P20))=0</formula>
    </cfRule>
  </conditionalFormatting>
  <conditionalFormatting sqref="P21">
    <cfRule type="containsBlanks" dxfId="859" priority="4934" stopIfTrue="1">
      <formula>LEN(TRIM(P21))=0</formula>
    </cfRule>
  </conditionalFormatting>
  <conditionalFormatting sqref="M21">
    <cfRule type="containsBlanks" dxfId="858" priority="4933" stopIfTrue="1">
      <formula>LEN(TRIM(M21))=0</formula>
    </cfRule>
  </conditionalFormatting>
  <conditionalFormatting sqref="P595 S595">
    <cfRule type="containsBlanks" dxfId="857" priority="4932" stopIfTrue="1">
      <formula>LEN(TRIM(P595))=0</formula>
    </cfRule>
  </conditionalFormatting>
  <conditionalFormatting sqref="P596">
    <cfRule type="containsBlanks" dxfId="856" priority="4931" stopIfTrue="1">
      <formula>LEN(TRIM(P596))=0</formula>
    </cfRule>
  </conditionalFormatting>
  <conditionalFormatting sqref="M110">
    <cfRule type="containsBlanks" dxfId="855" priority="4930" stopIfTrue="1">
      <formula>LEN(TRIM(M110))=0</formula>
    </cfRule>
  </conditionalFormatting>
  <conditionalFormatting sqref="X593">
    <cfRule type="containsBlanks" dxfId="854" priority="4929" stopIfTrue="1">
      <formula>LEN(TRIM(X593))=0</formula>
    </cfRule>
  </conditionalFormatting>
  <conditionalFormatting sqref="V109:V110">
    <cfRule type="cellIs" dxfId="853" priority="4928" stopIfTrue="1" operator="equal">
      <formula>"ESP. ERRADA"</formula>
    </cfRule>
  </conditionalFormatting>
  <conditionalFormatting sqref="V595:V596">
    <cfRule type="cellIs" dxfId="852" priority="4927" stopIfTrue="1" operator="equal">
      <formula>"ESP. ERRADA"</formula>
    </cfRule>
  </conditionalFormatting>
  <conditionalFormatting sqref="P93">
    <cfRule type="containsBlanks" dxfId="851" priority="4593" stopIfTrue="1">
      <formula>LEN(TRIM(P93))=0</formula>
    </cfRule>
  </conditionalFormatting>
  <conditionalFormatting sqref="S143">
    <cfRule type="containsBlanks" dxfId="850" priority="4258" stopIfTrue="1">
      <formula>LEN(TRIM(S143))=0</formula>
    </cfRule>
  </conditionalFormatting>
  <conditionalFormatting sqref="S118">
    <cfRule type="containsBlanks" dxfId="849" priority="4257" stopIfTrue="1">
      <formula>LEN(TRIM(S118))=0</formula>
    </cfRule>
  </conditionalFormatting>
  <conditionalFormatting sqref="S217">
    <cfRule type="containsBlanks" dxfId="848" priority="4256" stopIfTrue="1">
      <formula>LEN(TRIM(S217))=0</formula>
    </cfRule>
  </conditionalFormatting>
  <conditionalFormatting sqref="S291">
    <cfRule type="containsBlanks" dxfId="847" priority="4255" stopIfTrue="1">
      <formula>LEN(TRIM(S291))=0</formula>
    </cfRule>
  </conditionalFormatting>
  <conditionalFormatting sqref="S409">
    <cfRule type="containsBlanks" dxfId="846" priority="4254" stopIfTrue="1">
      <formula>LEN(TRIM(S409))=0</formula>
    </cfRule>
  </conditionalFormatting>
  <conditionalFormatting sqref="S512">
    <cfRule type="containsBlanks" dxfId="845" priority="4253" stopIfTrue="1">
      <formula>LEN(TRIM(S512))=0</formula>
    </cfRule>
  </conditionalFormatting>
  <conditionalFormatting sqref="S586">
    <cfRule type="containsBlanks" dxfId="844" priority="4252" stopIfTrue="1">
      <formula>LEN(TRIM(S586))=0</formula>
    </cfRule>
  </conditionalFormatting>
  <conditionalFormatting sqref="U611">
    <cfRule type="containsBlanks" dxfId="843" priority="4251" stopIfTrue="1">
      <formula>LEN(TRIM(U611))=0</formula>
    </cfRule>
  </conditionalFormatting>
  <conditionalFormatting sqref="S632">
    <cfRule type="containsBlanks" dxfId="842" priority="4250" stopIfTrue="1">
      <formula>LEN(TRIM(S632))=0</formula>
    </cfRule>
  </conditionalFormatting>
  <conditionalFormatting sqref="W419 W423 W415">
    <cfRule type="cellIs" dxfId="841" priority="3906" stopIfTrue="1" operator="equal">
      <formula>0</formula>
    </cfRule>
  </conditionalFormatting>
  <conditionalFormatting sqref="V415 V419 V423">
    <cfRule type="cellIs" dxfId="840" priority="3905" stopIfTrue="1" operator="equal">
      <formula>"ESP. ERRADA"</formula>
    </cfRule>
  </conditionalFormatting>
  <conditionalFormatting sqref="O421">
    <cfRule type="containsBlanks" dxfId="839" priority="3904" stopIfTrue="1">
      <formula>LEN(TRIM(O421))=0</formula>
    </cfRule>
  </conditionalFormatting>
  <conditionalFormatting sqref="X415">
    <cfRule type="containsBlanks" dxfId="838" priority="3900" stopIfTrue="1">
      <formula>LEN(TRIM(X415))=0</formula>
    </cfRule>
  </conditionalFormatting>
  <conditionalFormatting sqref="X482:X484">
    <cfRule type="containsBlanks" dxfId="837" priority="3889" stopIfTrue="1">
      <formula>LEN(TRIM(X482))=0</formula>
    </cfRule>
  </conditionalFormatting>
  <conditionalFormatting sqref="U482">
    <cfRule type="containsBlanks" dxfId="836" priority="3887" stopIfTrue="1">
      <formula>LEN(TRIM(U482))=0</formula>
    </cfRule>
  </conditionalFormatting>
  <conditionalFormatting sqref="S429:U478">
    <cfRule type="cellIs" dxfId="835" priority="3892" operator="lessThan">
      <formula>0</formula>
    </cfRule>
  </conditionalFormatting>
  <conditionalFormatting sqref="V483:V484 V481 V486:V489">
    <cfRule type="cellIs" dxfId="834" priority="3890" stopIfTrue="1" operator="equal">
      <formula>"ESP. ERRADA"</formula>
    </cfRule>
  </conditionalFormatting>
  <conditionalFormatting sqref="X487">
    <cfRule type="containsBlanks" dxfId="833" priority="3886" stopIfTrue="1">
      <formula>LEN(TRIM(X487))=0</formula>
    </cfRule>
  </conditionalFormatting>
  <conditionalFormatting sqref="N415">
    <cfRule type="containsBlanks" dxfId="832" priority="3786" stopIfTrue="1">
      <formula>LEN(TRIM(N415))=0</formula>
    </cfRule>
  </conditionalFormatting>
  <conditionalFormatting sqref="P415">
    <cfRule type="containsBlanks" dxfId="831" priority="3785" stopIfTrue="1">
      <formula>LEN(TRIM(P415))=0</formula>
    </cfRule>
  </conditionalFormatting>
  <conditionalFormatting sqref="O415">
    <cfRule type="containsBlanks" dxfId="830" priority="3784" stopIfTrue="1">
      <formula>LEN(TRIM(O415))=0</formula>
    </cfRule>
  </conditionalFormatting>
  <conditionalFormatting sqref="O422">
    <cfRule type="containsBlanks" dxfId="829" priority="3767" stopIfTrue="1">
      <formula>LEN(TRIM(O422))=0</formula>
    </cfRule>
  </conditionalFormatting>
  <conditionalFormatting sqref="O423">
    <cfRule type="containsBlanks" dxfId="828" priority="3766" stopIfTrue="1">
      <formula>LEN(TRIM(O423))=0</formula>
    </cfRule>
  </conditionalFormatting>
  <conditionalFormatting sqref="O429:O478">
    <cfRule type="containsBlanks" dxfId="827" priority="3763">
      <formula>LEN(TRIM(O429))=0</formula>
    </cfRule>
  </conditionalFormatting>
  <conditionalFormatting sqref="S487">
    <cfRule type="containsBlanks" dxfId="826" priority="3762" stopIfTrue="1">
      <formula>LEN(TRIM(S487))=0</formula>
    </cfRule>
  </conditionalFormatting>
  <conditionalFormatting sqref="P421:P422 Q423">
    <cfRule type="uniqueValues" dxfId="825" priority="3752"/>
    <cfRule type="duplicateValues" dxfId="824" priority="3753"/>
  </conditionalFormatting>
  <conditionalFormatting sqref="Q421:Q422 P423">
    <cfRule type="uniqueValues" dxfId="823" priority="3750"/>
    <cfRule type="duplicateValues" dxfId="822" priority="3751"/>
  </conditionalFormatting>
  <conditionalFormatting sqref="Q415">
    <cfRule type="containsBlanks" dxfId="821" priority="3749" stopIfTrue="1">
      <formula>LEN(TRIM(Q415))=0</formula>
    </cfRule>
  </conditionalFormatting>
  <conditionalFormatting sqref="W138">
    <cfRule type="cellIs" dxfId="526" priority="772" stopIfTrue="1" operator="equal">
      <formula>0</formula>
    </cfRule>
  </conditionalFormatting>
  <conditionalFormatting sqref="W143">
    <cfRule type="cellIs" dxfId="525" priority="773" stopIfTrue="1" operator="equal">
      <formula>0</formula>
    </cfRule>
  </conditionalFormatting>
  <conditionalFormatting sqref="W212">
    <cfRule type="cellIs" dxfId="524" priority="770" stopIfTrue="1" operator="equal">
      <formula>0</formula>
    </cfRule>
  </conditionalFormatting>
  <conditionalFormatting sqref="W217">
    <cfRule type="cellIs" dxfId="523" priority="771" stopIfTrue="1" operator="equal">
      <formula>0</formula>
    </cfRule>
  </conditionalFormatting>
  <conditionalFormatting sqref="W286">
    <cfRule type="cellIs" dxfId="522" priority="768" stopIfTrue="1" operator="equal">
      <formula>0</formula>
    </cfRule>
  </conditionalFormatting>
  <conditionalFormatting sqref="W291">
    <cfRule type="cellIs" dxfId="521" priority="769" stopIfTrue="1" operator="equal">
      <formula>0</formula>
    </cfRule>
  </conditionalFormatting>
  <conditionalFormatting sqref="W404">
    <cfRule type="cellIs" dxfId="520" priority="766" stopIfTrue="1" operator="equal">
      <formula>0</formula>
    </cfRule>
  </conditionalFormatting>
  <conditionalFormatting sqref="W409">
    <cfRule type="cellIs" dxfId="519" priority="767" stopIfTrue="1" operator="equal">
      <formula>0</formula>
    </cfRule>
  </conditionalFormatting>
  <conditionalFormatting sqref="W482">
    <cfRule type="cellIs" dxfId="518" priority="764" stopIfTrue="1" operator="equal">
      <formula>0</formula>
    </cfRule>
  </conditionalFormatting>
  <conditionalFormatting sqref="W487">
    <cfRule type="cellIs" dxfId="517" priority="765" stopIfTrue="1" operator="equal">
      <formula>0</formula>
    </cfRule>
  </conditionalFormatting>
  <conditionalFormatting sqref="W507">
    <cfRule type="cellIs" dxfId="516" priority="762" stopIfTrue="1" operator="equal">
      <formula>0</formula>
    </cfRule>
  </conditionalFormatting>
  <conditionalFormatting sqref="W512">
    <cfRule type="cellIs" dxfId="515" priority="763" stopIfTrue="1" operator="equal">
      <formula>0</formula>
    </cfRule>
  </conditionalFormatting>
  <conditionalFormatting sqref="W581">
    <cfRule type="cellIs" dxfId="514" priority="760" stopIfTrue="1" operator="equal">
      <formula>0</formula>
    </cfRule>
  </conditionalFormatting>
  <conditionalFormatting sqref="W586">
    <cfRule type="cellIs" dxfId="513" priority="761" stopIfTrue="1" operator="equal">
      <formula>0</formula>
    </cfRule>
  </conditionalFormatting>
  <conditionalFormatting sqref="W627">
    <cfRule type="cellIs" dxfId="512" priority="758" stopIfTrue="1" operator="equal">
      <formula>0</formula>
    </cfRule>
  </conditionalFormatting>
  <conditionalFormatting sqref="W632">
    <cfRule type="cellIs" dxfId="511" priority="759" stopIfTrue="1" operator="equal">
      <formula>0</formula>
    </cfRule>
  </conditionalFormatting>
  <conditionalFormatting sqref="W24">
    <cfRule type="cellIs" dxfId="509" priority="737" stopIfTrue="1" operator="equal">
      <formula>0</formula>
    </cfRule>
  </conditionalFormatting>
  <conditionalFormatting sqref="V149 V153">
    <cfRule type="containsBlanks" dxfId="502" priority="720" stopIfTrue="1">
      <formula>LEN(TRIM(V149))=0</formula>
    </cfRule>
  </conditionalFormatting>
  <conditionalFormatting sqref="B155">
    <cfRule type="containsBlanks" dxfId="501" priority="719" stopIfTrue="1">
      <formula>LEN(TRIM(B155))=0</formula>
    </cfRule>
  </conditionalFormatting>
  <conditionalFormatting sqref="B156">
    <cfRule type="containsBlanks" dxfId="500" priority="718" stopIfTrue="1">
      <formula>LEN(TRIM(B156))=0</formula>
    </cfRule>
  </conditionalFormatting>
  <conditionalFormatting sqref="M149 O149">
    <cfRule type="containsBlanks" dxfId="499" priority="717" stopIfTrue="1">
      <formula>LEN(TRIM(M149))=0</formula>
    </cfRule>
  </conditionalFormatting>
  <conditionalFormatting sqref="N149">
    <cfRule type="containsBlanks" dxfId="498" priority="716" stopIfTrue="1">
      <formula>LEN(TRIM(N149))=0</formula>
    </cfRule>
  </conditionalFormatting>
  <conditionalFormatting sqref="V223 V227">
    <cfRule type="containsBlanks" dxfId="497" priority="715" stopIfTrue="1">
      <formula>LEN(TRIM(V223))=0</formula>
    </cfRule>
  </conditionalFormatting>
  <conditionalFormatting sqref="V518">
    <cfRule type="containsBlanks" dxfId="429" priority="572" stopIfTrue="1">
      <formula>LEN(TRIM(V518))=0</formula>
    </cfRule>
  </conditionalFormatting>
  <conditionalFormatting sqref="M518 O518">
    <cfRule type="containsBlanks" dxfId="428" priority="571" stopIfTrue="1">
      <formula>LEN(TRIM(M518))=0</formula>
    </cfRule>
  </conditionalFormatting>
  <conditionalFormatting sqref="N518">
    <cfRule type="containsBlanks" dxfId="427" priority="570" stopIfTrue="1">
      <formula>LEN(TRIM(N518))=0</formula>
    </cfRule>
  </conditionalFormatting>
  <conditionalFormatting sqref="R339:R340">
    <cfRule type="containsBlanks" dxfId="426" priority="569" stopIfTrue="1">
      <formula>LEN(TRIM(R339))=0</formula>
    </cfRule>
  </conditionalFormatting>
  <conditionalFormatting sqref="S339:S343">
    <cfRule type="cellIs" dxfId="425" priority="367" operator="notEqual">
      <formula>$N$339</formula>
    </cfRule>
    <cfRule type="cellIs" dxfId="424" priority="368" operator="equal">
      <formula>$N$339</formula>
    </cfRule>
  </conditionalFormatting>
  <conditionalFormatting sqref="T339:T343">
    <cfRule type="cellIs" dxfId="423" priority="363" operator="notEqual">
      <formula>$O$339</formula>
    </cfRule>
    <cfRule type="cellIs" dxfId="422" priority="364" operator="equal">
      <formula>$O$339</formula>
    </cfRule>
  </conditionalFormatting>
  <conditionalFormatting sqref="W1274 X1275:X1276">
    <cfRule type="containsBlanks" dxfId="421" priority="359" stopIfTrue="1">
      <formula>LEN(TRIM(W1274))=0</formula>
    </cfRule>
  </conditionalFormatting>
  <conditionalFormatting sqref="W1274">
    <cfRule type="cellIs" dxfId="420" priority="358" stopIfTrue="1" operator="equal">
      <formula>0</formula>
    </cfRule>
  </conditionalFormatting>
  <conditionalFormatting sqref="X1274">
    <cfRule type="containsBlanks" dxfId="419" priority="357" stopIfTrue="1">
      <formula>LEN(TRIM(X1274))=0</formula>
    </cfRule>
  </conditionalFormatting>
  <conditionalFormatting sqref="W653">
    <cfRule type="cellIs" dxfId="418" priority="350" stopIfTrue="1" operator="equal">
      <formula>0</formula>
    </cfRule>
  </conditionalFormatting>
  <conditionalFormatting sqref="X922:X924">
    <cfRule type="containsBlanks" dxfId="417" priority="354" stopIfTrue="1">
      <formula>LEN(TRIM(X922))=0</formula>
    </cfRule>
  </conditionalFormatting>
  <conditionalFormatting sqref="V923:V924 V921 V926:V929">
    <cfRule type="cellIs" dxfId="416" priority="355" stopIfTrue="1" operator="equal">
      <formula>"ESP. ERRADA"</formula>
    </cfRule>
  </conditionalFormatting>
  <conditionalFormatting sqref="U657">
    <cfRule type="containsBlanks" dxfId="415" priority="351" stopIfTrue="1">
      <formula>LEN(TRIM(U657))=0</formula>
    </cfRule>
  </conditionalFormatting>
  <conditionalFormatting sqref="V656:V657">
    <cfRule type="cellIs" dxfId="414" priority="352" stopIfTrue="1" operator="equal">
      <formula>"ESP. ERRADA"</formula>
    </cfRule>
  </conditionalFormatting>
  <conditionalFormatting sqref="B868 U859 X859">
    <cfRule type="containsBlanks" dxfId="413" priority="356" stopIfTrue="1">
      <formula>LEN(TRIM(B859))=0</formula>
    </cfRule>
  </conditionalFormatting>
  <conditionalFormatting sqref="U656 X655 N653">
    <cfRule type="containsBlanks" dxfId="412" priority="353" stopIfTrue="1">
      <formula>LEN(TRIM(N653))=0</formula>
    </cfRule>
  </conditionalFormatting>
  <conditionalFormatting sqref="X927">
    <cfRule type="containsBlanks" dxfId="411" priority="348" stopIfTrue="1">
      <formula>LEN(TRIM(X927))=0</formula>
    </cfRule>
  </conditionalFormatting>
  <conditionalFormatting sqref="U922">
    <cfRule type="containsBlanks" dxfId="410" priority="349" stopIfTrue="1">
      <formula>LEN(TRIM(U922))=0</formula>
    </cfRule>
  </conditionalFormatting>
  <conditionalFormatting sqref="X774:X776">
    <cfRule type="containsBlanks" dxfId="409" priority="345" stopIfTrue="1">
      <formula>LEN(TRIM(X774))=0</formula>
    </cfRule>
  </conditionalFormatting>
  <conditionalFormatting sqref="M1251 O1251 U1251:V1251 V1255 X1251">
    <cfRule type="containsBlanks" dxfId="408" priority="342" stopIfTrue="1">
      <formula>LEN(TRIM(M1251))=0</formula>
    </cfRule>
  </conditionalFormatting>
  <conditionalFormatting sqref="B762 B764 B769 M760 O760 O770 T760:V760 V764 X760">
    <cfRule type="containsBlanks" dxfId="407" priority="347" stopIfTrue="1">
      <formula>LEN(TRIM(B760))=0</formula>
    </cfRule>
  </conditionalFormatting>
  <conditionalFormatting sqref="U774">
    <cfRule type="containsBlanks" dxfId="406" priority="344" stopIfTrue="1">
      <formula>LEN(TRIM(U774))=0</formula>
    </cfRule>
  </conditionalFormatting>
  <conditionalFormatting sqref="X1263:X1265">
    <cfRule type="containsBlanks" dxfId="405" priority="340" stopIfTrue="1">
      <formula>LEN(TRIM(X1263))=0</formula>
    </cfRule>
  </conditionalFormatting>
  <conditionalFormatting sqref="W702 W728 W723 W719 W711">
    <cfRule type="cellIs" dxfId="404" priority="331" stopIfTrue="1" operator="equal">
      <formula>0</formula>
    </cfRule>
  </conditionalFormatting>
  <conditionalFormatting sqref="X1268">
    <cfRule type="containsBlanks" dxfId="403" priority="338" stopIfTrue="1">
      <formula>LEN(TRIM(X1268))=0</formula>
    </cfRule>
  </conditionalFormatting>
  <conditionalFormatting sqref="X779">
    <cfRule type="containsBlanks" dxfId="402" priority="343" stopIfTrue="1">
      <formula>LEN(TRIM(X779))=0</formula>
    </cfRule>
  </conditionalFormatting>
  <conditionalFormatting sqref="P680 S680 U680">
    <cfRule type="containsBlanks" dxfId="401" priority="334" stopIfTrue="1">
      <formula>LEN(TRIM(P680))=0</formula>
    </cfRule>
  </conditionalFormatting>
  <conditionalFormatting sqref="X660">
    <cfRule type="containsBlanks" dxfId="400" priority="332" stopIfTrue="1">
      <formula>LEN(TRIM(X660))=0</formula>
    </cfRule>
  </conditionalFormatting>
  <conditionalFormatting sqref="R1251">
    <cfRule type="containsBlanks" dxfId="399" priority="337" stopIfTrue="1">
      <formula>LEN(TRIM(R1251))=0</formula>
    </cfRule>
  </conditionalFormatting>
  <conditionalFormatting sqref="V775:V776 V773 V778:V782">
    <cfRule type="cellIs" dxfId="398" priority="346" stopIfTrue="1" operator="equal">
      <formula>"ESP. ERRADA"</formula>
    </cfRule>
  </conditionalFormatting>
  <conditionalFormatting sqref="U705">
    <cfRule type="containsBlanks" dxfId="397" priority="327" stopIfTrue="1">
      <formula>LEN(TRIM(U705))=0</formula>
    </cfRule>
  </conditionalFormatting>
  <conditionalFormatting sqref="O706">
    <cfRule type="containsBlanks" dxfId="396" priority="325" stopIfTrue="1">
      <formula>LEN(TRIM(O706))=0</formula>
    </cfRule>
  </conditionalFormatting>
  <conditionalFormatting sqref="X678 M679 U679 X676">
    <cfRule type="containsBlanks" dxfId="395" priority="336" stopIfTrue="1">
      <formula>LEN(TRIM(M676))=0</formula>
    </cfRule>
  </conditionalFormatting>
  <conditionalFormatting sqref="V1264:V1265 V1262 V1267:V1270">
    <cfRule type="cellIs" dxfId="394" priority="341" stopIfTrue="1" operator="equal">
      <formula>"ESP. ERRADA"</formula>
    </cfRule>
  </conditionalFormatting>
  <conditionalFormatting sqref="U1263">
    <cfRule type="containsBlanks" dxfId="393" priority="339" stopIfTrue="1">
      <formula>LEN(TRIM(U1263))=0</formula>
    </cfRule>
  </conditionalFormatting>
  <conditionalFormatting sqref="S705">
    <cfRule type="containsBlanks" dxfId="392" priority="328" stopIfTrue="1">
      <formula>LEN(TRIM(S705))=0</formula>
    </cfRule>
  </conditionalFormatting>
  <conditionalFormatting sqref="W676">
    <cfRule type="cellIs" dxfId="391" priority="335" stopIfTrue="1" operator="equal">
      <formula>0</formula>
    </cfRule>
  </conditionalFormatting>
  <conditionalFormatting sqref="U706">
    <cfRule type="containsBlanks" dxfId="390" priority="323" stopIfTrue="1">
      <formula>LEN(TRIM(U706))=0</formula>
    </cfRule>
  </conditionalFormatting>
  <conditionalFormatting sqref="X723">
    <cfRule type="containsBlanks" dxfId="389" priority="316" stopIfTrue="1">
      <formula>LEN(TRIM(X723))=0</formula>
    </cfRule>
  </conditionalFormatting>
  <conditionalFormatting sqref="V659:V663">
    <cfRule type="cellIs" dxfId="388" priority="333" stopIfTrue="1" operator="equal">
      <formula>"ESP. ERRADA"</formula>
    </cfRule>
  </conditionalFormatting>
  <conditionalFormatting sqref="X703">
    <cfRule type="containsBlanks" dxfId="387" priority="330" stopIfTrue="1">
      <formula>LEN(TRIM(X703))=0</formula>
    </cfRule>
  </conditionalFormatting>
  <conditionalFormatting sqref="P705">
    <cfRule type="containsBlanks" dxfId="386" priority="329" stopIfTrue="1">
      <formula>LEN(TRIM(P705))=0</formula>
    </cfRule>
  </conditionalFormatting>
  <conditionalFormatting sqref="X712">
    <cfRule type="containsBlanks" dxfId="385" priority="322" stopIfTrue="1">
      <formula>LEN(TRIM(X712))=0</formula>
    </cfRule>
  </conditionalFormatting>
  <conditionalFormatting sqref="N706">
    <cfRule type="containsBlanks" dxfId="384" priority="326" stopIfTrue="1">
      <formula>LEN(TRIM(N706))=0</formula>
    </cfRule>
  </conditionalFormatting>
  <conditionalFormatting sqref="X720">
    <cfRule type="containsBlanks" dxfId="383" priority="321" stopIfTrue="1">
      <formula>LEN(TRIM(X720))=0</formula>
    </cfRule>
  </conditionalFormatting>
  <conditionalFormatting sqref="R706">
    <cfRule type="containsBlanks" dxfId="382" priority="324" stopIfTrue="1">
      <formula>LEN(TRIM(R706))=0</formula>
    </cfRule>
  </conditionalFormatting>
  <conditionalFormatting sqref="X724">
    <cfRule type="containsBlanks" dxfId="381" priority="320" stopIfTrue="1">
      <formula>LEN(TRIM(X724))=0</formula>
    </cfRule>
  </conditionalFormatting>
  <conditionalFormatting sqref="X711">
    <cfRule type="containsBlanks" dxfId="380" priority="318" stopIfTrue="1">
      <formula>LEN(TRIM(X711))=0</formula>
    </cfRule>
  </conditionalFormatting>
  <conditionalFormatting sqref="X719">
    <cfRule type="containsBlanks" dxfId="379" priority="317" stopIfTrue="1">
      <formula>LEN(TRIM(X719))=0</formula>
    </cfRule>
  </conditionalFormatting>
  <conditionalFormatting sqref="X702">
    <cfRule type="containsBlanks" dxfId="378" priority="319" stopIfTrue="1">
      <formula>LEN(TRIM(X702))=0</formula>
    </cfRule>
  </conditionalFormatting>
  <conditionalFormatting sqref="U716">
    <cfRule type="containsBlanks" dxfId="377" priority="312" stopIfTrue="1">
      <formula>LEN(TRIM(U716))=0</formula>
    </cfRule>
  </conditionalFormatting>
  <conditionalFormatting sqref="U707">
    <cfRule type="containsBlanks" dxfId="376" priority="311" stopIfTrue="1">
      <formula>LEN(TRIM(U707))=0</formula>
    </cfRule>
  </conditionalFormatting>
  <conditionalFormatting sqref="P714">
    <cfRule type="containsBlanks" dxfId="375" priority="315" stopIfTrue="1">
      <formula>LEN(TRIM(P714))=0</formula>
    </cfRule>
  </conditionalFormatting>
  <conditionalFormatting sqref="S714">
    <cfRule type="containsBlanks" dxfId="374" priority="314" stopIfTrue="1">
      <formula>LEN(TRIM(S714))=0</formula>
    </cfRule>
  </conditionalFormatting>
  <conditionalFormatting sqref="U714">
    <cfRule type="containsBlanks" dxfId="373" priority="313" stopIfTrue="1">
      <formula>LEN(TRIM(U714))=0</formula>
    </cfRule>
  </conditionalFormatting>
  <conditionalFormatting sqref="N716">
    <cfRule type="containsBlanks" dxfId="372" priority="301" stopIfTrue="1">
      <formula>LEN(TRIM(N716))=0</formula>
    </cfRule>
  </conditionalFormatting>
  <conditionalFormatting sqref="U715">
    <cfRule type="containsBlanks" dxfId="371" priority="307" stopIfTrue="1">
      <formula>LEN(TRIM(U715))=0</formula>
    </cfRule>
  </conditionalFormatting>
  <conditionalFormatting sqref="O715">
    <cfRule type="containsBlanks" dxfId="370" priority="309" stopIfTrue="1">
      <formula>LEN(TRIM(O715))=0</formula>
    </cfRule>
  </conditionalFormatting>
  <conditionalFormatting sqref="N715">
    <cfRule type="containsBlanks" dxfId="369" priority="310" stopIfTrue="1">
      <formula>LEN(TRIM(N715))=0</formula>
    </cfRule>
  </conditionalFormatting>
  <conditionalFormatting sqref="R715">
    <cfRule type="containsBlanks" dxfId="368" priority="308" stopIfTrue="1">
      <formula>LEN(TRIM(R715))=0</formula>
    </cfRule>
  </conditionalFormatting>
  <conditionalFormatting sqref="R707">
    <cfRule type="containsBlanks" dxfId="367" priority="306" stopIfTrue="1">
      <formula>LEN(TRIM(R707))=0</formula>
    </cfRule>
  </conditionalFormatting>
  <conditionalFormatting sqref="R716">
    <cfRule type="containsBlanks" dxfId="366" priority="305" stopIfTrue="1">
      <formula>LEN(TRIM(R716))=0</formula>
    </cfRule>
  </conditionalFormatting>
  <conditionalFormatting sqref="P716">
    <cfRule type="containsBlanks" dxfId="365" priority="304" stopIfTrue="1">
      <formula>LEN(TRIM(P716))=0</formula>
    </cfRule>
  </conditionalFormatting>
  <conditionalFormatting sqref="Q716">
    <cfRule type="containsBlanks" dxfId="364" priority="303" stopIfTrue="1">
      <formula>LEN(TRIM(Q716))=0</formula>
    </cfRule>
  </conditionalFormatting>
  <conditionalFormatting sqref="O716">
    <cfRule type="containsBlanks" dxfId="363" priority="302" stopIfTrue="1">
      <formula>LEN(TRIM(O716))=0</formula>
    </cfRule>
  </conditionalFormatting>
  <conditionalFormatting sqref="W937 W941 W945 W949 W953 W957 W933 W961">
    <cfRule type="cellIs" dxfId="362" priority="300" stopIfTrue="1" operator="equal">
      <formula>0</formula>
    </cfRule>
  </conditionalFormatting>
  <conditionalFormatting sqref="V933 V937 V941 V945 V949">
    <cfRule type="cellIs" dxfId="361" priority="299" stopIfTrue="1" operator="equal">
      <formula>"ESP. ERRADA"</formula>
    </cfRule>
  </conditionalFormatting>
  <conditionalFormatting sqref="M975:M976">
    <cfRule type="containsBlanks" dxfId="360" priority="298" stopIfTrue="1">
      <formula>LEN(TRIM(M975))=0</formula>
    </cfRule>
  </conditionalFormatting>
  <conditionalFormatting sqref="R979">
    <cfRule type="containsBlanks" dxfId="359" priority="297" stopIfTrue="1">
      <formula>LEN(TRIM(R979))=0</formula>
    </cfRule>
  </conditionalFormatting>
  <conditionalFormatting sqref="M988">
    <cfRule type="containsBlanks" dxfId="358" priority="296" stopIfTrue="1">
      <formula>LEN(TRIM(M988))=0</formula>
    </cfRule>
  </conditionalFormatting>
  <conditionalFormatting sqref="Q988">
    <cfRule type="containsBlanks" dxfId="357" priority="295" stopIfTrue="1">
      <formula>LEN(TRIM(Q988))=0</formula>
    </cfRule>
  </conditionalFormatting>
  <conditionalFormatting sqref="X933">
    <cfRule type="containsBlanks" dxfId="356" priority="294" stopIfTrue="1">
      <formula>LEN(TRIM(X933))=0</formula>
    </cfRule>
  </conditionalFormatting>
  <conditionalFormatting sqref="W965">
    <cfRule type="cellIs" dxfId="355" priority="293" stopIfTrue="1" operator="equal">
      <formula>0</formula>
    </cfRule>
  </conditionalFormatting>
  <conditionalFormatting sqref="W969">
    <cfRule type="cellIs" dxfId="354" priority="292" stopIfTrue="1" operator="equal">
      <formula>0</formula>
    </cfRule>
  </conditionalFormatting>
  <conditionalFormatting sqref="V953">
    <cfRule type="cellIs" dxfId="353" priority="291" stopIfTrue="1" operator="equal">
      <formula>"ESP. ERRADA"</formula>
    </cfRule>
  </conditionalFormatting>
  <conditionalFormatting sqref="V957">
    <cfRule type="cellIs" dxfId="352" priority="290" stopIfTrue="1" operator="equal">
      <formula>"ESP. ERRADA"</formula>
    </cfRule>
  </conditionalFormatting>
  <conditionalFormatting sqref="V961">
    <cfRule type="cellIs" dxfId="351" priority="289" stopIfTrue="1" operator="equal">
      <formula>"ESP. ERRADA"</formula>
    </cfRule>
  </conditionalFormatting>
  <conditionalFormatting sqref="V965">
    <cfRule type="cellIs" dxfId="350" priority="288" stopIfTrue="1" operator="equal">
      <formula>"ESP. ERRADA"</formula>
    </cfRule>
  </conditionalFormatting>
  <conditionalFormatting sqref="V969">
    <cfRule type="cellIs" dxfId="349" priority="287" stopIfTrue="1" operator="equal">
      <formula>"ESP. ERRADA"</formula>
    </cfRule>
  </conditionalFormatting>
  <conditionalFormatting sqref="X1040:X1042">
    <cfRule type="containsBlanks" dxfId="348" priority="284" stopIfTrue="1">
      <formula>LEN(TRIM(X1040))=0</formula>
    </cfRule>
  </conditionalFormatting>
  <conditionalFormatting sqref="U1040">
    <cfRule type="containsBlanks" dxfId="347" priority="283" stopIfTrue="1">
      <formula>LEN(TRIM(U1040))=0</formula>
    </cfRule>
  </conditionalFormatting>
  <conditionalFormatting sqref="M989">
    <cfRule type="containsBlanks" dxfId="346" priority="281" stopIfTrue="1">
      <formula>LEN(TRIM(M989))=0</formula>
    </cfRule>
  </conditionalFormatting>
  <conditionalFormatting sqref="M991">
    <cfRule type="containsBlanks" dxfId="345" priority="280" stopIfTrue="1">
      <formula>LEN(TRIM(M991))=0</formula>
    </cfRule>
  </conditionalFormatting>
  <conditionalFormatting sqref="M993">
    <cfRule type="containsBlanks" dxfId="344" priority="278" stopIfTrue="1">
      <formula>LEN(TRIM(M993))=0</formula>
    </cfRule>
  </conditionalFormatting>
  <conditionalFormatting sqref="M995">
    <cfRule type="containsBlanks" dxfId="343" priority="276" stopIfTrue="1">
      <formula>LEN(TRIM(M995))=0</formula>
    </cfRule>
  </conditionalFormatting>
  <conditionalFormatting sqref="M997">
    <cfRule type="containsBlanks" dxfId="342" priority="274" stopIfTrue="1">
      <formula>LEN(TRIM(M997))=0</formula>
    </cfRule>
  </conditionalFormatting>
  <conditionalFormatting sqref="M999">
    <cfRule type="containsBlanks" dxfId="341" priority="272" stopIfTrue="1">
      <formula>LEN(TRIM(M999))=0</formula>
    </cfRule>
  </conditionalFormatting>
  <conditionalFormatting sqref="M1001">
    <cfRule type="containsBlanks" dxfId="340" priority="270" stopIfTrue="1">
      <formula>LEN(TRIM(M1001))=0</formula>
    </cfRule>
  </conditionalFormatting>
  <conditionalFormatting sqref="M1003">
    <cfRule type="containsBlanks" dxfId="339" priority="268" stopIfTrue="1">
      <formula>LEN(TRIM(M1003))=0</formula>
    </cfRule>
  </conditionalFormatting>
  <conditionalFormatting sqref="M1005">
    <cfRule type="containsBlanks" dxfId="338" priority="266" stopIfTrue="1">
      <formula>LEN(TRIM(M1005))=0</formula>
    </cfRule>
  </conditionalFormatting>
  <conditionalFormatting sqref="M1007">
    <cfRule type="containsBlanks" dxfId="337" priority="264" stopIfTrue="1">
      <formula>LEN(TRIM(M1007))=0</formula>
    </cfRule>
  </conditionalFormatting>
  <conditionalFormatting sqref="M1009">
    <cfRule type="containsBlanks" dxfId="336" priority="262" stopIfTrue="1">
      <formula>LEN(TRIM(M1009))=0</formula>
    </cfRule>
  </conditionalFormatting>
  <conditionalFormatting sqref="M1011">
    <cfRule type="containsBlanks" dxfId="335" priority="260" stopIfTrue="1">
      <formula>LEN(TRIM(M1011))=0</formula>
    </cfRule>
  </conditionalFormatting>
  <conditionalFormatting sqref="M1013">
    <cfRule type="containsBlanks" dxfId="334" priority="258" stopIfTrue="1">
      <formula>LEN(TRIM(M1013))=0</formula>
    </cfRule>
  </conditionalFormatting>
  <conditionalFormatting sqref="M1015">
    <cfRule type="containsBlanks" dxfId="333" priority="256" stopIfTrue="1">
      <formula>LEN(TRIM(M1015))=0</formula>
    </cfRule>
  </conditionalFormatting>
  <conditionalFormatting sqref="M1017">
    <cfRule type="containsBlanks" dxfId="332" priority="254" stopIfTrue="1">
      <formula>LEN(TRIM(M1017))=0</formula>
    </cfRule>
  </conditionalFormatting>
  <conditionalFormatting sqref="T987:V1036">
    <cfRule type="cellIs" dxfId="331" priority="286" operator="lessThan">
      <formula>0</formula>
    </cfRule>
  </conditionalFormatting>
  <conditionalFormatting sqref="V1041:V1042 V1039 V1044:V1047">
    <cfRule type="cellIs" dxfId="330" priority="285" stopIfTrue="1" operator="equal">
      <formula>"ESP. ERRADA"</formula>
    </cfRule>
  </conditionalFormatting>
  <conditionalFormatting sqref="X1045">
    <cfRule type="containsBlanks" dxfId="329" priority="282" stopIfTrue="1">
      <formula>LEN(TRIM(X1045))=0</formula>
    </cfRule>
  </conditionalFormatting>
  <conditionalFormatting sqref="M992">
    <cfRule type="containsBlanks" dxfId="328" priority="279" stopIfTrue="1">
      <formula>LEN(TRIM(M992))=0</formula>
    </cfRule>
  </conditionalFormatting>
  <conditionalFormatting sqref="M994">
    <cfRule type="containsBlanks" dxfId="327" priority="277" stopIfTrue="1">
      <formula>LEN(TRIM(M994))=0</formula>
    </cfRule>
  </conditionalFormatting>
  <conditionalFormatting sqref="M996">
    <cfRule type="containsBlanks" dxfId="326" priority="275" stopIfTrue="1">
      <formula>LEN(TRIM(M996))=0</formula>
    </cfRule>
  </conditionalFormatting>
  <conditionalFormatting sqref="M998">
    <cfRule type="containsBlanks" dxfId="325" priority="273" stopIfTrue="1">
      <formula>LEN(TRIM(M998))=0</formula>
    </cfRule>
  </conditionalFormatting>
  <conditionalFormatting sqref="M1000">
    <cfRule type="containsBlanks" dxfId="324" priority="271" stopIfTrue="1">
      <formula>LEN(TRIM(M1000))=0</formula>
    </cfRule>
  </conditionalFormatting>
  <conditionalFormatting sqref="M1002">
    <cfRule type="containsBlanks" dxfId="323" priority="269" stopIfTrue="1">
      <formula>LEN(TRIM(M1002))=0</formula>
    </cfRule>
  </conditionalFormatting>
  <conditionalFormatting sqref="M1004">
    <cfRule type="containsBlanks" dxfId="322" priority="267" stopIfTrue="1">
      <formula>LEN(TRIM(M1004))=0</formula>
    </cfRule>
  </conditionalFormatting>
  <conditionalFormatting sqref="M1006">
    <cfRule type="containsBlanks" dxfId="321" priority="265" stopIfTrue="1">
      <formula>LEN(TRIM(M1006))=0</formula>
    </cfRule>
  </conditionalFormatting>
  <conditionalFormatting sqref="M1008">
    <cfRule type="containsBlanks" dxfId="320" priority="263" stopIfTrue="1">
      <formula>LEN(TRIM(M1008))=0</formula>
    </cfRule>
  </conditionalFormatting>
  <conditionalFormatting sqref="M1010">
    <cfRule type="containsBlanks" dxfId="319" priority="261" stopIfTrue="1">
      <formula>LEN(TRIM(M1010))=0</formula>
    </cfRule>
  </conditionalFormatting>
  <conditionalFormatting sqref="M1012">
    <cfRule type="containsBlanks" dxfId="318" priority="259" stopIfTrue="1">
      <formula>LEN(TRIM(M1012))=0</formula>
    </cfRule>
  </conditionalFormatting>
  <conditionalFormatting sqref="M1014">
    <cfRule type="containsBlanks" dxfId="317" priority="257" stopIfTrue="1">
      <formula>LEN(TRIM(M1014))=0</formula>
    </cfRule>
  </conditionalFormatting>
  <conditionalFormatting sqref="M1016">
    <cfRule type="containsBlanks" dxfId="316" priority="255" stopIfTrue="1">
      <formula>LEN(TRIM(M1016))=0</formula>
    </cfRule>
  </conditionalFormatting>
  <conditionalFormatting sqref="M1018">
    <cfRule type="containsBlanks" dxfId="315" priority="253" stopIfTrue="1">
      <formula>LEN(TRIM(M1018))=0</formula>
    </cfRule>
  </conditionalFormatting>
  <conditionalFormatting sqref="M1019">
    <cfRule type="containsBlanks" dxfId="314" priority="252" stopIfTrue="1">
      <formula>LEN(TRIM(M1019))=0</formula>
    </cfRule>
  </conditionalFormatting>
  <conditionalFormatting sqref="M1020">
    <cfRule type="containsBlanks" dxfId="313" priority="251" stopIfTrue="1">
      <formula>LEN(TRIM(M1020))=0</formula>
    </cfRule>
  </conditionalFormatting>
  <conditionalFormatting sqref="M1021">
    <cfRule type="containsBlanks" dxfId="312" priority="250" stopIfTrue="1">
      <formula>LEN(TRIM(M1021))=0</formula>
    </cfRule>
  </conditionalFormatting>
  <conditionalFormatting sqref="M1022">
    <cfRule type="containsBlanks" dxfId="311" priority="249" stopIfTrue="1">
      <formula>LEN(TRIM(M1022))=0</formula>
    </cfRule>
  </conditionalFormatting>
  <conditionalFormatting sqref="M1023">
    <cfRule type="containsBlanks" dxfId="310" priority="248" stopIfTrue="1">
      <formula>LEN(TRIM(M1023))=0</formula>
    </cfRule>
  </conditionalFormatting>
  <conditionalFormatting sqref="M1024">
    <cfRule type="containsBlanks" dxfId="309" priority="247" stopIfTrue="1">
      <formula>LEN(TRIM(M1024))=0</formula>
    </cfRule>
  </conditionalFormatting>
  <conditionalFormatting sqref="M1025">
    <cfRule type="containsBlanks" dxfId="308" priority="246" stopIfTrue="1">
      <formula>LEN(TRIM(M1025))=0</formula>
    </cfRule>
  </conditionalFormatting>
  <conditionalFormatting sqref="M1026">
    <cfRule type="containsBlanks" dxfId="307" priority="245" stopIfTrue="1">
      <formula>LEN(TRIM(M1026))=0</formula>
    </cfRule>
  </conditionalFormatting>
  <conditionalFormatting sqref="M1027">
    <cfRule type="containsBlanks" dxfId="306" priority="244" stopIfTrue="1">
      <formula>LEN(TRIM(M1027))=0</formula>
    </cfRule>
  </conditionalFormatting>
  <conditionalFormatting sqref="M1028">
    <cfRule type="containsBlanks" dxfId="305" priority="243" stopIfTrue="1">
      <formula>LEN(TRIM(M1028))=0</formula>
    </cfRule>
  </conditionalFormatting>
  <conditionalFormatting sqref="M1029">
    <cfRule type="containsBlanks" dxfId="304" priority="242" stopIfTrue="1">
      <formula>LEN(TRIM(M1029))=0</formula>
    </cfRule>
  </conditionalFormatting>
  <conditionalFormatting sqref="M1030">
    <cfRule type="containsBlanks" dxfId="303" priority="241" stopIfTrue="1">
      <formula>LEN(TRIM(M1030))=0</formula>
    </cfRule>
  </conditionalFormatting>
  <conditionalFormatting sqref="M1031">
    <cfRule type="containsBlanks" dxfId="302" priority="240" stopIfTrue="1">
      <formula>LEN(TRIM(M1031))=0</formula>
    </cfRule>
  </conditionalFormatting>
  <conditionalFormatting sqref="M1032">
    <cfRule type="containsBlanks" dxfId="301" priority="239" stopIfTrue="1">
      <formula>LEN(TRIM(M1032))=0</formula>
    </cfRule>
  </conditionalFormatting>
  <conditionalFormatting sqref="M1033">
    <cfRule type="containsBlanks" dxfId="300" priority="238" stopIfTrue="1">
      <formula>LEN(TRIM(M1033))=0</formula>
    </cfRule>
  </conditionalFormatting>
  <conditionalFormatting sqref="M1034">
    <cfRule type="containsBlanks" dxfId="299" priority="237" stopIfTrue="1">
      <formula>LEN(TRIM(M1034))=0</formula>
    </cfRule>
  </conditionalFormatting>
  <conditionalFormatting sqref="M1035">
    <cfRule type="containsBlanks" dxfId="298" priority="236" stopIfTrue="1">
      <formula>LEN(TRIM(M1035))=0</formula>
    </cfRule>
  </conditionalFormatting>
  <conditionalFormatting sqref="M1036">
    <cfRule type="containsBlanks" dxfId="297" priority="235" stopIfTrue="1">
      <formula>LEN(TRIM(M1036))=0</formula>
    </cfRule>
  </conditionalFormatting>
  <conditionalFormatting sqref="Q989">
    <cfRule type="containsBlanks" dxfId="296" priority="234" stopIfTrue="1">
      <formula>LEN(TRIM(Q989))=0</formula>
    </cfRule>
  </conditionalFormatting>
  <conditionalFormatting sqref="Q990">
    <cfRule type="containsBlanks" dxfId="295" priority="233" stopIfTrue="1">
      <formula>LEN(TRIM(Q990))=0</formula>
    </cfRule>
  </conditionalFormatting>
  <conditionalFormatting sqref="Q991">
    <cfRule type="containsBlanks" dxfId="294" priority="232" stopIfTrue="1">
      <formula>LEN(TRIM(Q991))=0</formula>
    </cfRule>
  </conditionalFormatting>
  <conditionalFormatting sqref="Q992">
    <cfRule type="containsBlanks" dxfId="293" priority="231" stopIfTrue="1">
      <formula>LEN(TRIM(Q992))=0</formula>
    </cfRule>
  </conditionalFormatting>
  <conditionalFormatting sqref="Q993">
    <cfRule type="containsBlanks" dxfId="292" priority="230" stopIfTrue="1">
      <formula>LEN(TRIM(Q993))=0</formula>
    </cfRule>
  </conditionalFormatting>
  <conditionalFormatting sqref="Q994">
    <cfRule type="containsBlanks" dxfId="291" priority="229" stopIfTrue="1">
      <formula>LEN(TRIM(Q994))=0</formula>
    </cfRule>
  </conditionalFormatting>
  <conditionalFormatting sqref="Q995">
    <cfRule type="containsBlanks" dxfId="290" priority="228" stopIfTrue="1">
      <formula>LEN(TRIM(Q995))=0</formula>
    </cfRule>
  </conditionalFormatting>
  <conditionalFormatting sqref="Q996">
    <cfRule type="containsBlanks" dxfId="289" priority="227" stopIfTrue="1">
      <formula>LEN(TRIM(Q996))=0</formula>
    </cfRule>
  </conditionalFormatting>
  <conditionalFormatting sqref="Q997">
    <cfRule type="containsBlanks" dxfId="288" priority="226" stopIfTrue="1">
      <formula>LEN(TRIM(Q997))=0</formula>
    </cfRule>
  </conditionalFormatting>
  <conditionalFormatting sqref="Q998">
    <cfRule type="containsBlanks" dxfId="287" priority="225" stopIfTrue="1">
      <formula>LEN(TRIM(Q998))=0</formula>
    </cfRule>
  </conditionalFormatting>
  <conditionalFormatting sqref="Q999">
    <cfRule type="containsBlanks" dxfId="286" priority="224" stopIfTrue="1">
      <formula>LEN(TRIM(Q999))=0</formula>
    </cfRule>
  </conditionalFormatting>
  <conditionalFormatting sqref="Q1000">
    <cfRule type="containsBlanks" dxfId="285" priority="223" stopIfTrue="1">
      <formula>LEN(TRIM(Q1000))=0</formula>
    </cfRule>
  </conditionalFormatting>
  <conditionalFormatting sqref="Q1001">
    <cfRule type="containsBlanks" dxfId="284" priority="222" stopIfTrue="1">
      <formula>LEN(TRIM(Q1001))=0</formula>
    </cfRule>
  </conditionalFormatting>
  <conditionalFormatting sqref="Q1002">
    <cfRule type="containsBlanks" dxfId="283" priority="221" stopIfTrue="1">
      <formula>LEN(TRIM(Q1002))=0</formula>
    </cfRule>
  </conditionalFormatting>
  <conditionalFormatting sqref="Q1003">
    <cfRule type="containsBlanks" dxfId="282" priority="220" stopIfTrue="1">
      <formula>LEN(TRIM(Q1003))=0</formula>
    </cfRule>
  </conditionalFormatting>
  <conditionalFormatting sqref="Q1004">
    <cfRule type="containsBlanks" dxfId="281" priority="219" stopIfTrue="1">
      <formula>LEN(TRIM(Q1004))=0</formula>
    </cfRule>
  </conditionalFormatting>
  <conditionalFormatting sqref="Q1005">
    <cfRule type="containsBlanks" dxfId="280" priority="218" stopIfTrue="1">
      <formula>LEN(TRIM(Q1005))=0</formula>
    </cfRule>
  </conditionalFormatting>
  <conditionalFormatting sqref="Q1006">
    <cfRule type="containsBlanks" dxfId="279" priority="217" stopIfTrue="1">
      <formula>LEN(TRIM(Q1006))=0</formula>
    </cfRule>
  </conditionalFormatting>
  <conditionalFormatting sqref="Q1007">
    <cfRule type="containsBlanks" dxfId="278" priority="216" stopIfTrue="1">
      <formula>LEN(TRIM(Q1007))=0</formula>
    </cfRule>
  </conditionalFormatting>
  <conditionalFormatting sqref="Q1008">
    <cfRule type="containsBlanks" dxfId="277" priority="215" stopIfTrue="1">
      <formula>LEN(TRIM(Q1008))=0</formula>
    </cfRule>
  </conditionalFormatting>
  <conditionalFormatting sqref="Q1009">
    <cfRule type="containsBlanks" dxfId="276" priority="214" stopIfTrue="1">
      <formula>LEN(TRIM(Q1009))=0</formula>
    </cfRule>
  </conditionalFormatting>
  <conditionalFormatting sqref="Q1010">
    <cfRule type="containsBlanks" dxfId="275" priority="213" stopIfTrue="1">
      <formula>LEN(TRIM(Q1010))=0</formula>
    </cfRule>
  </conditionalFormatting>
  <conditionalFormatting sqref="Q1011">
    <cfRule type="containsBlanks" dxfId="274" priority="212" stopIfTrue="1">
      <formula>LEN(TRIM(Q1011))=0</formula>
    </cfRule>
  </conditionalFormatting>
  <conditionalFormatting sqref="Q1012">
    <cfRule type="containsBlanks" dxfId="273" priority="211" stopIfTrue="1">
      <formula>LEN(TRIM(Q1012))=0</formula>
    </cfRule>
  </conditionalFormatting>
  <conditionalFormatting sqref="Q1013">
    <cfRule type="containsBlanks" dxfId="272" priority="210" stopIfTrue="1">
      <formula>LEN(TRIM(Q1013))=0</formula>
    </cfRule>
  </conditionalFormatting>
  <conditionalFormatting sqref="Q1014">
    <cfRule type="containsBlanks" dxfId="271" priority="209" stopIfTrue="1">
      <formula>LEN(TRIM(Q1014))=0</formula>
    </cfRule>
  </conditionalFormatting>
  <conditionalFormatting sqref="Q1015">
    <cfRule type="containsBlanks" dxfId="270" priority="208" stopIfTrue="1">
      <formula>LEN(TRIM(Q1015))=0</formula>
    </cfRule>
  </conditionalFormatting>
  <conditionalFormatting sqref="Q1016">
    <cfRule type="containsBlanks" dxfId="269" priority="207" stopIfTrue="1">
      <formula>LEN(TRIM(Q1016))=0</formula>
    </cfRule>
  </conditionalFormatting>
  <conditionalFormatting sqref="Q1017">
    <cfRule type="containsBlanks" dxfId="268" priority="206" stopIfTrue="1">
      <formula>LEN(TRIM(Q1017))=0</formula>
    </cfRule>
  </conditionalFormatting>
  <conditionalFormatting sqref="Q1018">
    <cfRule type="containsBlanks" dxfId="267" priority="205" stopIfTrue="1">
      <formula>LEN(TRIM(Q1018))=0</formula>
    </cfRule>
  </conditionalFormatting>
  <conditionalFormatting sqref="Q1019">
    <cfRule type="containsBlanks" dxfId="266" priority="204" stopIfTrue="1">
      <formula>LEN(TRIM(Q1019))=0</formula>
    </cfRule>
  </conditionalFormatting>
  <conditionalFormatting sqref="Q1020">
    <cfRule type="containsBlanks" dxfId="265" priority="203" stopIfTrue="1">
      <formula>LEN(TRIM(Q1020))=0</formula>
    </cfRule>
  </conditionalFormatting>
  <conditionalFormatting sqref="Q1021">
    <cfRule type="containsBlanks" dxfId="264" priority="202" stopIfTrue="1">
      <formula>LEN(TRIM(Q1021))=0</formula>
    </cfRule>
  </conditionalFormatting>
  <conditionalFormatting sqref="Q1022">
    <cfRule type="containsBlanks" dxfId="263" priority="201" stopIfTrue="1">
      <formula>LEN(TRIM(Q1022))=0</formula>
    </cfRule>
  </conditionalFormatting>
  <conditionalFormatting sqref="Q1023">
    <cfRule type="containsBlanks" dxfId="262" priority="200" stopIfTrue="1">
      <formula>LEN(TRIM(Q1023))=0</formula>
    </cfRule>
  </conditionalFormatting>
  <conditionalFormatting sqref="Q1024">
    <cfRule type="containsBlanks" dxfId="261" priority="199" stopIfTrue="1">
      <formula>LEN(TRIM(Q1024))=0</formula>
    </cfRule>
  </conditionalFormatting>
  <conditionalFormatting sqref="Q1025">
    <cfRule type="containsBlanks" dxfId="260" priority="198" stopIfTrue="1">
      <formula>LEN(TRIM(Q1025))=0</formula>
    </cfRule>
  </conditionalFormatting>
  <conditionalFormatting sqref="Q1026">
    <cfRule type="containsBlanks" dxfId="259" priority="197" stopIfTrue="1">
      <formula>LEN(TRIM(Q1026))=0</formula>
    </cfRule>
  </conditionalFormatting>
  <conditionalFormatting sqref="Q1027">
    <cfRule type="containsBlanks" dxfId="258" priority="196" stopIfTrue="1">
      <formula>LEN(TRIM(Q1027))=0</formula>
    </cfRule>
  </conditionalFormatting>
  <conditionalFormatting sqref="Q1028">
    <cfRule type="containsBlanks" dxfId="257" priority="195" stopIfTrue="1">
      <formula>LEN(TRIM(Q1028))=0</formula>
    </cfRule>
  </conditionalFormatting>
  <conditionalFormatting sqref="Q1029">
    <cfRule type="containsBlanks" dxfId="256" priority="194" stopIfTrue="1">
      <formula>LEN(TRIM(Q1029))=0</formula>
    </cfRule>
  </conditionalFormatting>
  <conditionalFormatting sqref="Q1030">
    <cfRule type="containsBlanks" dxfId="255" priority="193" stopIfTrue="1">
      <formula>LEN(TRIM(Q1030))=0</formula>
    </cfRule>
  </conditionalFormatting>
  <conditionalFormatting sqref="Q1031">
    <cfRule type="containsBlanks" dxfId="254" priority="192" stopIfTrue="1">
      <formula>LEN(TRIM(Q1031))=0</formula>
    </cfRule>
  </conditionalFormatting>
  <conditionalFormatting sqref="Q1032">
    <cfRule type="containsBlanks" dxfId="253" priority="191" stopIfTrue="1">
      <formula>LEN(TRIM(Q1032))=0</formula>
    </cfRule>
  </conditionalFormatting>
  <conditionalFormatting sqref="Q1033">
    <cfRule type="containsBlanks" dxfId="252" priority="190" stopIfTrue="1">
      <formula>LEN(TRIM(Q1033))=0</formula>
    </cfRule>
  </conditionalFormatting>
  <conditionalFormatting sqref="Q1034">
    <cfRule type="containsBlanks" dxfId="251" priority="189" stopIfTrue="1">
      <formula>LEN(TRIM(Q1034))=0</formula>
    </cfRule>
  </conditionalFormatting>
  <conditionalFormatting sqref="Q1035">
    <cfRule type="containsBlanks" dxfId="250" priority="188" stopIfTrue="1">
      <formula>LEN(TRIM(Q1035))=0</formula>
    </cfRule>
  </conditionalFormatting>
  <conditionalFormatting sqref="Q1036">
    <cfRule type="containsBlanks" dxfId="249" priority="187" stopIfTrue="1">
      <formula>LEN(TRIM(Q1036))=0</formula>
    </cfRule>
  </conditionalFormatting>
  <conditionalFormatting sqref="O975:O979">
    <cfRule type="cellIs" dxfId="248" priority="185" operator="notEqual">
      <formula>$O$339</formula>
    </cfRule>
    <cfRule type="cellIs" dxfId="247" priority="186" operator="equal">
      <formula>$O$339</formula>
    </cfRule>
  </conditionalFormatting>
  <conditionalFormatting sqref="N975:N979">
    <cfRule type="cellIs" dxfId="246" priority="183" operator="notEqual">
      <formula>$N$339</formula>
    </cfRule>
    <cfRule type="cellIs" dxfId="245" priority="184" operator="equal">
      <formula>$N$339</formula>
    </cfRule>
  </conditionalFormatting>
  <conditionalFormatting sqref="N707">
    <cfRule type="containsBlanks" dxfId="244" priority="182" stopIfTrue="1">
      <formula>LEN(TRIM(N707))=0</formula>
    </cfRule>
  </conditionalFormatting>
  <conditionalFormatting sqref="O707">
    <cfRule type="containsBlanks" dxfId="243" priority="181" stopIfTrue="1">
      <formula>LEN(TRIM(O707))=0</formula>
    </cfRule>
  </conditionalFormatting>
  <conditionalFormatting sqref="P707">
    <cfRule type="containsBlanks" dxfId="242" priority="180" stopIfTrue="1">
      <formula>LEN(TRIM(P707))=0</formula>
    </cfRule>
  </conditionalFormatting>
  <conditionalFormatting sqref="Q707">
    <cfRule type="containsBlanks" dxfId="241" priority="179" stopIfTrue="1">
      <formula>LEN(TRIM(Q707))=0</formula>
    </cfRule>
  </conditionalFormatting>
  <conditionalFormatting sqref="R729">
    <cfRule type="containsBlanks" dxfId="240" priority="178" stopIfTrue="1">
      <formula>LEN(TRIM(R729))=0</formula>
    </cfRule>
  </conditionalFormatting>
  <conditionalFormatting sqref="W734">
    <cfRule type="cellIs" dxfId="239" priority="177" stopIfTrue="1" operator="equal">
      <formula>0</formula>
    </cfRule>
  </conditionalFormatting>
  <conditionalFormatting sqref="U737">
    <cfRule type="containsBlanks" dxfId="238" priority="175" stopIfTrue="1">
      <formula>LEN(TRIM(U737))=0</formula>
    </cfRule>
  </conditionalFormatting>
  <conditionalFormatting sqref="U738">
    <cfRule type="containsBlanks" dxfId="237" priority="174" stopIfTrue="1">
      <formula>LEN(TRIM(U738))=0</formula>
    </cfRule>
  </conditionalFormatting>
  <conditionalFormatting sqref="X735">
    <cfRule type="containsBlanks" dxfId="236" priority="176" stopIfTrue="1">
      <formula>LEN(TRIM(X735))=0</formula>
    </cfRule>
  </conditionalFormatting>
  <conditionalFormatting sqref="X734">
    <cfRule type="containsBlanks" dxfId="235" priority="173" stopIfTrue="1">
      <formula>LEN(TRIM(X734))=0</formula>
    </cfRule>
  </conditionalFormatting>
  <conditionalFormatting sqref="X1245">
    <cfRule type="containsBlanks" dxfId="234" priority="172" stopIfTrue="1">
      <formula>LEN(TRIM(X1245))=0</formula>
    </cfRule>
  </conditionalFormatting>
  <conditionalFormatting sqref="W1243">
    <cfRule type="cellIs" dxfId="233" priority="171" stopIfTrue="1" operator="equal">
      <formula>0</formula>
    </cfRule>
  </conditionalFormatting>
  <conditionalFormatting sqref="M1247">
    <cfRule type="containsBlanks" dxfId="232" priority="170" stopIfTrue="1">
      <formula>LEN(TRIM(M1247))=0</formula>
    </cfRule>
  </conditionalFormatting>
  <conditionalFormatting sqref="B656">
    <cfRule type="containsBlanks" dxfId="231" priority="169" stopIfTrue="1">
      <formula>LEN(TRIM(B656))=0</formula>
    </cfRule>
  </conditionalFormatting>
  <conditionalFormatting sqref="B657">
    <cfRule type="containsBlanks" dxfId="230" priority="168" stopIfTrue="1">
      <formula>LEN(TRIM(B657))=0</formula>
    </cfRule>
  </conditionalFormatting>
  <conditionalFormatting sqref="C975">
    <cfRule type="containsBlanks" dxfId="229" priority="167" stopIfTrue="1">
      <formula>LEN(TRIM(C975))=0</formula>
    </cfRule>
  </conditionalFormatting>
  <conditionalFormatting sqref="C978">
    <cfRule type="containsBlanks" dxfId="228" priority="166" stopIfTrue="1">
      <formula>LEN(TRIM(C978))=0</formula>
    </cfRule>
  </conditionalFormatting>
  <conditionalFormatting sqref="C981">
    <cfRule type="containsBlanks" dxfId="227" priority="165" stopIfTrue="1">
      <formula>LEN(TRIM(C981))=0</formula>
    </cfRule>
  </conditionalFormatting>
  <conditionalFormatting sqref="P1239">
    <cfRule type="containsBlanks" dxfId="226" priority="161" stopIfTrue="1">
      <formula>LEN(TRIM(P1239))=0</formula>
    </cfRule>
  </conditionalFormatting>
  <conditionalFormatting sqref="U1232">
    <cfRule type="containsBlanks" dxfId="225" priority="157" stopIfTrue="1">
      <formula>LEN(TRIM(U1232))=0</formula>
    </cfRule>
  </conditionalFormatting>
  <conditionalFormatting sqref="B705">
    <cfRule type="containsBlanks" dxfId="224" priority="153" stopIfTrue="1">
      <formula>LEN(TRIM(B705))=0</formula>
    </cfRule>
  </conditionalFormatting>
  <conditionalFormatting sqref="B714">
    <cfRule type="containsBlanks" dxfId="223" priority="150" stopIfTrue="1">
      <formula>LEN(TRIM(B714))=0</formula>
    </cfRule>
  </conditionalFormatting>
  <conditionalFormatting sqref="B715">
    <cfRule type="containsBlanks" dxfId="222" priority="149" stopIfTrue="1">
      <formula>LEN(TRIM(B715))=0</formula>
    </cfRule>
  </conditionalFormatting>
  <conditionalFormatting sqref="B716">
    <cfRule type="containsBlanks" dxfId="221" priority="148" stopIfTrue="1">
      <formula>LEN(TRIM(B716))=0</formula>
    </cfRule>
  </conditionalFormatting>
  <conditionalFormatting sqref="B707">
    <cfRule type="containsBlanks" dxfId="220" priority="151" stopIfTrue="1">
      <formula>LEN(TRIM(B707))=0</formula>
    </cfRule>
  </conditionalFormatting>
  <conditionalFormatting sqref="R1239">
    <cfRule type="containsBlanks" dxfId="219" priority="159" stopIfTrue="1">
      <formula>LEN(TRIM(R1239))=0</formula>
    </cfRule>
  </conditionalFormatting>
  <conditionalFormatting sqref="U1231 X1228 N1228 X1230">
    <cfRule type="containsBlanks" dxfId="218" priority="158" stopIfTrue="1">
      <formula>LEN(TRIM(N1228))=0</formula>
    </cfRule>
  </conditionalFormatting>
  <conditionalFormatting sqref="W1236">
    <cfRule type="cellIs" dxfId="217" priority="162" stopIfTrue="1" operator="equal">
      <formula>0</formula>
    </cfRule>
  </conditionalFormatting>
  <conditionalFormatting sqref="V1239">
    <cfRule type="cellIs" dxfId="216" priority="163" stopIfTrue="1" operator="equal">
      <formula>"ESP. ERRADA"</formula>
    </cfRule>
  </conditionalFormatting>
  <conditionalFormatting sqref="U1239 X1236:X1238">
    <cfRule type="containsBlanks" dxfId="215" priority="164" stopIfTrue="1">
      <formula>LEN(TRIM(U1236))=0</formula>
    </cfRule>
  </conditionalFormatting>
  <conditionalFormatting sqref="S1239">
    <cfRule type="containsBlanks" dxfId="214" priority="160" stopIfTrue="1">
      <formula>LEN(TRIM(S1239))=0</formula>
    </cfRule>
  </conditionalFormatting>
  <conditionalFormatting sqref="W1228">
    <cfRule type="cellIs" dxfId="213" priority="156" stopIfTrue="1" operator="equal">
      <formula>0</formula>
    </cfRule>
  </conditionalFormatting>
  <conditionalFormatting sqref="B679">
    <cfRule type="containsBlanks" dxfId="212" priority="155" stopIfTrue="1">
      <formula>LEN(TRIM(B679))=0</formula>
    </cfRule>
  </conditionalFormatting>
  <conditionalFormatting sqref="B680">
    <cfRule type="containsBlanks" dxfId="211" priority="154" stopIfTrue="1">
      <formula>LEN(TRIM(B680))=0</formula>
    </cfRule>
  </conditionalFormatting>
  <conditionalFormatting sqref="B706">
    <cfRule type="containsBlanks" dxfId="210" priority="152" stopIfTrue="1">
      <formula>LEN(TRIM(B706))=0</formula>
    </cfRule>
  </conditionalFormatting>
  <conditionalFormatting sqref="P688 S688 U688">
    <cfRule type="containsBlanks" dxfId="209" priority="145" stopIfTrue="1">
      <formula>LEN(TRIM(P688))=0</formula>
    </cfRule>
  </conditionalFormatting>
  <conditionalFormatting sqref="X686 M687 U687 X684">
    <cfRule type="containsBlanks" dxfId="208" priority="147" stopIfTrue="1">
      <formula>LEN(TRIM(M684))=0</formula>
    </cfRule>
  </conditionalFormatting>
  <conditionalFormatting sqref="W684">
    <cfRule type="cellIs" dxfId="207" priority="146" stopIfTrue="1" operator="equal">
      <formula>0</formula>
    </cfRule>
  </conditionalFormatting>
  <conditionalFormatting sqref="B687">
    <cfRule type="containsBlanks" dxfId="206" priority="144" stopIfTrue="1">
      <formula>LEN(TRIM(B687))=0</formula>
    </cfRule>
  </conditionalFormatting>
  <conditionalFormatting sqref="B688">
    <cfRule type="containsBlanks" dxfId="205" priority="143" stopIfTrue="1">
      <formula>LEN(TRIM(B688))=0</formula>
    </cfRule>
  </conditionalFormatting>
  <conditionalFormatting sqref="W695">
    <cfRule type="cellIs" dxfId="204" priority="142" stopIfTrue="1" operator="equal">
      <formula>0</formula>
    </cfRule>
  </conditionalFormatting>
  <conditionalFormatting sqref="X695">
    <cfRule type="containsBlanks" dxfId="203" priority="141" stopIfTrue="1">
      <formula>LEN(TRIM(X695))=0</formula>
    </cfRule>
  </conditionalFormatting>
  <conditionalFormatting sqref="R696">
    <cfRule type="containsBlanks" dxfId="202" priority="140" stopIfTrue="1">
      <formula>LEN(TRIM(R696))=0</formula>
    </cfRule>
  </conditionalFormatting>
  <conditionalFormatting sqref="X848:X850">
    <cfRule type="containsBlanks" dxfId="201" priority="137" stopIfTrue="1">
      <formula>LEN(TRIM(X848))=0</formula>
    </cfRule>
  </conditionalFormatting>
  <conditionalFormatting sqref="B794 O795 U785 X785">
    <cfRule type="containsBlanks" dxfId="200" priority="139" stopIfTrue="1">
      <formula>LEN(TRIM(B785))=0</formula>
    </cfRule>
  </conditionalFormatting>
  <conditionalFormatting sqref="U848">
    <cfRule type="containsBlanks" dxfId="199" priority="136" stopIfTrue="1">
      <formula>LEN(TRIM(U848))=0</formula>
    </cfRule>
  </conditionalFormatting>
  <conditionalFormatting sqref="X853">
    <cfRule type="containsBlanks" dxfId="198" priority="135" stopIfTrue="1">
      <formula>LEN(TRIM(X853))=0</formula>
    </cfRule>
  </conditionalFormatting>
  <conditionalFormatting sqref="V849:V850 V847 V852:V856">
    <cfRule type="cellIs" dxfId="197" priority="138" stopIfTrue="1" operator="equal">
      <formula>"ESP. ERRADA"</formula>
    </cfRule>
  </conditionalFormatting>
  <conditionalFormatting sqref="X754">
    <cfRule type="containsBlanks" dxfId="196" priority="124" stopIfTrue="1">
      <formula>LEN(TRIM(X754))=0</formula>
    </cfRule>
  </conditionalFormatting>
  <conditionalFormatting sqref="O796:O844">
    <cfRule type="containsBlanks" dxfId="195" priority="134" stopIfTrue="1">
      <formula>LEN(TRIM(O796))=0</formula>
    </cfRule>
  </conditionalFormatting>
  <conditionalFormatting sqref="B746">
    <cfRule type="containsBlanks" dxfId="194" priority="122" stopIfTrue="1">
      <formula>LEN(TRIM(B746))=0</formula>
    </cfRule>
  </conditionalFormatting>
  <conditionalFormatting sqref="W742">
    <cfRule type="cellIs" dxfId="193" priority="130" stopIfTrue="1" operator="equal">
      <formula>0</formula>
    </cfRule>
  </conditionalFormatting>
  <conditionalFormatting sqref="U746">
    <cfRule type="containsBlanks" dxfId="192" priority="131" stopIfTrue="1">
      <formula>LEN(TRIM(U746))=0</formula>
    </cfRule>
  </conditionalFormatting>
  <conditionalFormatting sqref="P745 S745 U745 X742:X744 N742">
    <cfRule type="containsBlanks" dxfId="191" priority="133" stopIfTrue="1">
      <formula>LEN(TRIM(N742))=0</formula>
    </cfRule>
  </conditionalFormatting>
  <conditionalFormatting sqref="M1232">
    <cfRule type="containsBlanks" dxfId="190" priority="132" stopIfTrue="1">
      <formula>LEN(TRIM(M1232))=0</formula>
    </cfRule>
  </conditionalFormatting>
  <conditionalFormatting sqref="U660">
    <cfRule type="containsBlanks" dxfId="189" priority="115" stopIfTrue="1">
      <formula>LEN(TRIM(U660))=0</formula>
    </cfRule>
  </conditionalFormatting>
  <conditionalFormatting sqref="X749:X751">
    <cfRule type="containsBlanks" dxfId="188" priority="127" stopIfTrue="1">
      <formula>LEN(TRIM(X749))=0</formula>
    </cfRule>
  </conditionalFormatting>
  <conditionalFormatting sqref="U749">
    <cfRule type="containsBlanks" dxfId="187" priority="125" stopIfTrue="1">
      <formula>LEN(TRIM(U749))=0</formula>
    </cfRule>
  </conditionalFormatting>
  <conditionalFormatting sqref="V750:V751 V748 V753:V757">
    <cfRule type="cellIs" dxfId="186" priority="128" stopIfTrue="1" operator="equal">
      <formula>"ESP. ERRADA"</formula>
    </cfRule>
  </conditionalFormatting>
  <conditionalFormatting sqref="W749">
    <cfRule type="cellIs" dxfId="185" priority="126" stopIfTrue="1" operator="equal">
      <formula>0</formula>
    </cfRule>
  </conditionalFormatting>
  <conditionalFormatting sqref="W754">
    <cfRule type="cellIs" dxfId="184" priority="129" stopIfTrue="1" operator="equal">
      <formula>0</formula>
    </cfRule>
  </conditionalFormatting>
  <conditionalFormatting sqref="B745">
    <cfRule type="containsBlanks" dxfId="183" priority="123" stopIfTrue="1">
      <formula>LEN(TRIM(B745))=0</formula>
    </cfRule>
  </conditionalFormatting>
  <conditionalFormatting sqref="X665">
    <cfRule type="containsBlanks" dxfId="182" priority="119" stopIfTrue="1">
      <formula>LEN(TRIM(X665))=0</formula>
    </cfRule>
  </conditionalFormatting>
  <conditionalFormatting sqref="U670">
    <cfRule type="containsBlanks" dxfId="181" priority="113" stopIfTrue="1">
      <formula>LEN(TRIM(U670))=0</formula>
    </cfRule>
  </conditionalFormatting>
  <conditionalFormatting sqref="V664:V668">
    <cfRule type="cellIs" dxfId="180" priority="120" stopIfTrue="1" operator="equal">
      <formula>"ESP. ERRADA"</formula>
    </cfRule>
  </conditionalFormatting>
  <conditionalFormatting sqref="W665">
    <cfRule type="cellIs" dxfId="179" priority="121" stopIfTrue="1" operator="equal">
      <formula>0</formula>
    </cfRule>
  </conditionalFormatting>
  <conditionalFormatting sqref="X670">
    <cfRule type="containsBlanks" dxfId="178" priority="116" stopIfTrue="1">
      <formula>LEN(TRIM(X670))=0</formula>
    </cfRule>
  </conditionalFormatting>
  <conditionalFormatting sqref="V669:V673">
    <cfRule type="cellIs" dxfId="177" priority="117" stopIfTrue="1" operator="equal">
      <formula>"ESP. ERRADA"</formula>
    </cfRule>
  </conditionalFormatting>
  <conditionalFormatting sqref="W670">
    <cfRule type="cellIs" dxfId="176" priority="118" stopIfTrue="1" operator="equal">
      <formula>0</formula>
    </cfRule>
  </conditionalFormatting>
  <conditionalFormatting sqref="U665">
    <cfRule type="containsBlanks" dxfId="175" priority="114" stopIfTrue="1">
      <formula>LEN(TRIM(U665))=0</formula>
    </cfRule>
  </conditionalFormatting>
  <conditionalFormatting sqref="X728">
    <cfRule type="containsBlanks" dxfId="174" priority="112" stopIfTrue="1">
      <formula>LEN(TRIM(X728))=0</formula>
    </cfRule>
  </conditionalFormatting>
  <conditionalFormatting sqref="X729">
    <cfRule type="containsBlanks" dxfId="173" priority="111" stopIfTrue="1">
      <formula>LEN(TRIM(X729))=0</formula>
    </cfRule>
  </conditionalFormatting>
  <conditionalFormatting sqref="X1243">
    <cfRule type="containsBlanks" dxfId="172" priority="110" stopIfTrue="1">
      <formula>LEN(TRIM(X1243))=0</formula>
    </cfRule>
  </conditionalFormatting>
  <conditionalFormatting sqref="X1244">
    <cfRule type="containsBlanks" dxfId="171" priority="109" stopIfTrue="1">
      <formula>LEN(TRIM(X1244))=0</formula>
    </cfRule>
  </conditionalFormatting>
  <conditionalFormatting sqref="X1217:X1219">
    <cfRule type="containsBlanks" dxfId="170" priority="105" stopIfTrue="1">
      <formula>LEN(TRIM(X1217))=0</formula>
    </cfRule>
  </conditionalFormatting>
  <conditionalFormatting sqref="V1218:V1219 V1216 V1221:V1224">
    <cfRule type="cellIs" dxfId="169" priority="106" stopIfTrue="1" operator="equal">
      <formula>"ESP. ERRADA"</formula>
    </cfRule>
  </conditionalFormatting>
  <conditionalFormatting sqref="Q1154">
    <cfRule type="containsBlanks" dxfId="168" priority="107" stopIfTrue="1">
      <formula>LEN(TRIM(Q1154))=0</formula>
    </cfRule>
  </conditionalFormatting>
  <conditionalFormatting sqref="B1163 U1154 X1154">
    <cfRule type="containsBlanks" dxfId="167" priority="108" stopIfTrue="1">
      <formula>LEN(TRIM(B1154))=0</formula>
    </cfRule>
  </conditionalFormatting>
  <conditionalFormatting sqref="X1222">
    <cfRule type="containsBlanks" dxfId="166" priority="103" stopIfTrue="1">
      <formula>LEN(TRIM(X1222))=0</formula>
    </cfRule>
  </conditionalFormatting>
  <conditionalFormatting sqref="U1217">
    <cfRule type="containsBlanks" dxfId="165" priority="104" stopIfTrue="1">
      <formula>LEN(TRIM(U1217))=0</formula>
    </cfRule>
  </conditionalFormatting>
  <conditionalFormatting sqref="B1160">
    <cfRule type="containsBlanks" dxfId="164" priority="102" stopIfTrue="1">
      <formula>LEN(TRIM(B1160))=0</formula>
    </cfRule>
  </conditionalFormatting>
  <conditionalFormatting sqref="N760">
    <cfRule type="containsBlanks" dxfId="163" priority="101" stopIfTrue="1">
      <formula>LEN(TRIM(N760))=0</formula>
    </cfRule>
  </conditionalFormatting>
  <conditionalFormatting sqref="X1143:X1145">
    <cfRule type="containsBlanks" dxfId="162" priority="98" stopIfTrue="1">
      <formula>LEN(TRIM(X1143))=0</formula>
    </cfRule>
  </conditionalFormatting>
  <conditionalFormatting sqref="B1131 B1133 B1138 M1129 O1129 O1139 T1129:V1129 X1129 B1135">
    <cfRule type="containsBlanks" dxfId="161" priority="100" stopIfTrue="1">
      <formula>LEN(TRIM(B1129))=0</formula>
    </cfRule>
  </conditionalFormatting>
  <conditionalFormatting sqref="U1143">
    <cfRule type="containsBlanks" dxfId="160" priority="97" stopIfTrue="1">
      <formula>LEN(TRIM(U1143))=0</formula>
    </cfRule>
  </conditionalFormatting>
  <conditionalFormatting sqref="X1148">
    <cfRule type="containsBlanks" dxfId="159" priority="96" stopIfTrue="1">
      <formula>LEN(TRIM(X1148))=0</formula>
    </cfRule>
  </conditionalFormatting>
  <conditionalFormatting sqref="V1144:V1145 V1142 V1147:V1151">
    <cfRule type="cellIs" dxfId="158" priority="99" stopIfTrue="1" operator="equal">
      <formula>"ESP. ERRADA"</formula>
    </cfRule>
  </conditionalFormatting>
  <conditionalFormatting sqref="N1129">
    <cfRule type="containsBlanks" dxfId="157" priority="95" stopIfTrue="1">
      <formula>LEN(TRIM(N1129))=0</formula>
    </cfRule>
  </conditionalFormatting>
  <conditionalFormatting sqref="Q987">
    <cfRule type="containsBlanks" dxfId="156" priority="94" stopIfTrue="1">
      <formula>LEN(TRIM(Q987))=0</formula>
    </cfRule>
  </conditionalFormatting>
  <conditionalFormatting sqref="O987:O1036">
    <cfRule type="containsBlanks" dxfId="155" priority="93" stopIfTrue="1">
      <formula>LEN(TRIM(O987))=0</formula>
    </cfRule>
  </conditionalFormatting>
  <conditionalFormatting sqref="M987">
    <cfRule type="containsBlanks" dxfId="154" priority="92" stopIfTrue="1">
      <formula>LEN(TRIM(M987))=0</formula>
    </cfRule>
  </conditionalFormatting>
  <conditionalFormatting sqref="M990">
    <cfRule type="containsBlanks" dxfId="153" priority="91" stopIfTrue="1">
      <formula>LEN(TRIM(M990))=0</formula>
    </cfRule>
  </conditionalFormatting>
  <conditionalFormatting sqref="X653">
    <cfRule type="containsBlanks" dxfId="152" priority="90" stopIfTrue="1">
      <formula>LEN(TRIM(X653))=0</formula>
    </cfRule>
  </conditionalFormatting>
  <conditionalFormatting sqref="R977">
    <cfRule type="containsBlanks" dxfId="151" priority="89" stopIfTrue="1">
      <formula>LEN(TRIM(R977))=0</formula>
    </cfRule>
  </conditionalFormatting>
  <conditionalFormatting sqref="R978">
    <cfRule type="containsBlanks" dxfId="150" priority="88" stopIfTrue="1">
      <formula>LEN(TRIM(R978))=0</formula>
    </cfRule>
  </conditionalFormatting>
  <conditionalFormatting sqref="M977">
    <cfRule type="containsBlanks" dxfId="149" priority="87" stopIfTrue="1">
      <formula>LEN(TRIM(M977))=0</formula>
    </cfRule>
  </conditionalFormatting>
  <conditionalFormatting sqref="M978">
    <cfRule type="containsBlanks" dxfId="148" priority="86" stopIfTrue="1">
      <formula>LEN(TRIM(M978))=0</formula>
    </cfRule>
  </conditionalFormatting>
  <conditionalFormatting sqref="M979">
    <cfRule type="containsBlanks" dxfId="147" priority="85" stopIfTrue="1">
      <formula>LEN(TRIM(M979))=0</formula>
    </cfRule>
  </conditionalFormatting>
  <conditionalFormatting sqref="M859 O859">
    <cfRule type="containsBlanks" dxfId="146" priority="84" stopIfTrue="1">
      <formula>LEN(TRIM(M859))=0</formula>
    </cfRule>
  </conditionalFormatting>
  <conditionalFormatting sqref="N859">
    <cfRule type="containsBlanks" dxfId="145" priority="83" stopIfTrue="1">
      <formula>LEN(TRIM(N859))=0</formula>
    </cfRule>
  </conditionalFormatting>
  <conditionalFormatting sqref="Q859">
    <cfRule type="containsBlanks" dxfId="144" priority="82" stopIfTrue="1">
      <formula>LEN(TRIM(Q859))=0</formula>
    </cfRule>
  </conditionalFormatting>
  <conditionalFormatting sqref="B865">
    <cfRule type="containsBlanks" dxfId="143" priority="81" stopIfTrue="1">
      <formula>LEN(TRIM(B865))=0</formula>
    </cfRule>
  </conditionalFormatting>
  <conditionalFormatting sqref="B866">
    <cfRule type="containsBlanks" dxfId="142" priority="80" stopIfTrue="1">
      <formula>LEN(TRIM(B866))=0</formula>
    </cfRule>
  </conditionalFormatting>
  <conditionalFormatting sqref="R859">
    <cfRule type="containsBlanks" dxfId="141" priority="79" stopIfTrue="1">
      <formula>LEN(TRIM(R859))=0</formula>
    </cfRule>
  </conditionalFormatting>
  <conditionalFormatting sqref="O870:O919">
    <cfRule type="containsBlanks" dxfId="140" priority="78" stopIfTrue="1">
      <formula>LEN(TRIM(O870))=0</formula>
    </cfRule>
  </conditionalFormatting>
  <conditionalFormatting sqref="B766">
    <cfRule type="containsBlanks" dxfId="139" priority="77" stopIfTrue="1">
      <formula>LEN(TRIM(B766))=0</formula>
    </cfRule>
  </conditionalFormatting>
  <conditionalFormatting sqref="B767">
    <cfRule type="containsBlanks" dxfId="138" priority="76" stopIfTrue="1">
      <formula>LEN(TRIM(B767))=0</formula>
    </cfRule>
  </conditionalFormatting>
  <conditionalFormatting sqref="S987:S1036">
    <cfRule type="containsBlanks" dxfId="137" priority="75">
      <formula>LEN(TRIM(S987))=0</formula>
    </cfRule>
  </conditionalFormatting>
  <conditionalFormatting sqref="S1165:T1214 T1139:U1139">
    <cfRule type="cellIs" dxfId="136" priority="360" operator="greaterThan">
      <formula>1+$I$529</formula>
    </cfRule>
  </conditionalFormatting>
  <conditionalFormatting sqref="T1165:T1214">
    <cfRule type="cellIs" dxfId="135" priority="361" operator="lessThan">
      <formula>-1-$I$529</formula>
    </cfRule>
  </conditionalFormatting>
  <conditionalFormatting sqref="O1165:O1214">
    <cfRule type="containsBlanks" dxfId="134" priority="74" stopIfTrue="1">
      <formula>LEN(TRIM(O1165))=0</formula>
    </cfRule>
  </conditionalFormatting>
  <conditionalFormatting sqref="S870:T919">
    <cfRule type="cellIs" dxfId="133" priority="362" operator="greaterThan">
      <formula>1+$K$234</formula>
    </cfRule>
  </conditionalFormatting>
  <conditionalFormatting sqref="P746">
    <cfRule type="containsBlanks" dxfId="132" priority="73" stopIfTrue="1">
      <formula>LEN(TRIM(P746))=0</formula>
    </cfRule>
  </conditionalFormatting>
  <conditionalFormatting sqref="X654">
    <cfRule type="containsBlanks" dxfId="131" priority="72" stopIfTrue="1">
      <formula>LEN(TRIM(X654))=0</formula>
    </cfRule>
  </conditionalFormatting>
  <conditionalFormatting sqref="P656 S656">
    <cfRule type="containsBlanks" dxfId="130" priority="71" stopIfTrue="1">
      <formula>LEN(TRIM(P656))=0</formula>
    </cfRule>
  </conditionalFormatting>
  <conditionalFormatting sqref="P657">
    <cfRule type="containsBlanks" dxfId="129" priority="70" stopIfTrue="1">
      <formula>LEN(TRIM(P657))=0</formula>
    </cfRule>
  </conditionalFormatting>
  <conditionalFormatting sqref="M657">
    <cfRule type="containsBlanks" dxfId="128" priority="69" stopIfTrue="1">
      <formula>LEN(TRIM(M657))=0</formula>
    </cfRule>
  </conditionalFormatting>
  <conditionalFormatting sqref="P1231 S1231">
    <cfRule type="containsBlanks" dxfId="127" priority="68" stopIfTrue="1">
      <formula>LEN(TRIM(P1231))=0</formula>
    </cfRule>
  </conditionalFormatting>
  <conditionalFormatting sqref="P1232">
    <cfRule type="containsBlanks" dxfId="126" priority="67" stopIfTrue="1">
      <formula>LEN(TRIM(P1232))=0</formula>
    </cfRule>
  </conditionalFormatting>
  <conditionalFormatting sqref="M746">
    <cfRule type="containsBlanks" dxfId="125" priority="66" stopIfTrue="1">
      <formula>LEN(TRIM(M746))=0</formula>
    </cfRule>
  </conditionalFormatting>
  <conditionalFormatting sqref="X1229">
    <cfRule type="containsBlanks" dxfId="124" priority="65" stopIfTrue="1">
      <formula>LEN(TRIM(X1229))=0</formula>
    </cfRule>
  </conditionalFormatting>
  <conditionalFormatting sqref="V745:V746">
    <cfRule type="cellIs" dxfId="123" priority="64" stopIfTrue="1" operator="equal">
      <formula>"ESP. ERRADA"</formula>
    </cfRule>
  </conditionalFormatting>
  <conditionalFormatting sqref="V1231:V1232">
    <cfRule type="cellIs" dxfId="122" priority="63" stopIfTrue="1" operator="equal">
      <formula>"ESP. ERRADA"</formula>
    </cfRule>
  </conditionalFormatting>
  <conditionalFormatting sqref="P729">
    <cfRule type="containsBlanks" dxfId="121" priority="62" stopIfTrue="1">
      <formula>LEN(TRIM(P729))=0</formula>
    </cfRule>
  </conditionalFormatting>
  <conditionalFormatting sqref="S779">
    <cfRule type="containsBlanks" dxfId="120" priority="61" stopIfTrue="1">
      <formula>LEN(TRIM(S779))=0</formula>
    </cfRule>
  </conditionalFormatting>
  <conditionalFormatting sqref="S754">
    <cfRule type="containsBlanks" dxfId="119" priority="60" stopIfTrue="1">
      <formula>LEN(TRIM(S754))=0</formula>
    </cfRule>
  </conditionalFormatting>
  <conditionalFormatting sqref="S853">
    <cfRule type="containsBlanks" dxfId="118" priority="59" stopIfTrue="1">
      <formula>LEN(TRIM(S853))=0</formula>
    </cfRule>
  </conditionalFormatting>
  <conditionalFormatting sqref="S927">
    <cfRule type="containsBlanks" dxfId="117" priority="58" stopIfTrue="1">
      <formula>LEN(TRIM(S927))=0</formula>
    </cfRule>
  </conditionalFormatting>
  <conditionalFormatting sqref="S1045">
    <cfRule type="containsBlanks" dxfId="116" priority="57" stopIfTrue="1">
      <formula>LEN(TRIM(S1045))=0</formula>
    </cfRule>
  </conditionalFormatting>
  <conditionalFormatting sqref="S1148">
    <cfRule type="containsBlanks" dxfId="115" priority="56" stopIfTrue="1">
      <formula>LEN(TRIM(S1148))=0</formula>
    </cfRule>
  </conditionalFormatting>
  <conditionalFormatting sqref="S1222">
    <cfRule type="containsBlanks" dxfId="114" priority="55" stopIfTrue="1">
      <formula>LEN(TRIM(S1222))=0</formula>
    </cfRule>
  </conditionalFormatting>
  <conditionalFormatting sqref="U1247">
    <cfRule type="containsBlanks" dxfId="113" priority="54" stopIfTrue="1">
      <formula>LEN(TRIM(U1247))=0</formula>
    </cfRule>
  </conditionalFormatting>
  <conditionalFormatting sqref="S1268">
    <cfRule type="containsBlanks" dxfId="112" priority="53" stopIfTrue="1">
      <formula>LEN(TRIM(S1268))=0</formula>
    </cfRule>
  </conditionalFormatting>
  <conditionalFormatting sqref="W1055 W1059 W1051">
    <cfRule type="cellIs" dxfId="111" priority="52" stopIfTrue="1" operator="equal">
      <formula>0</formula>
    </cfRule>
  </conditionalFormatting>
  <conditionalFormatting sqref="V1051 V1055 V1059">
    <cfRule type="cellIs" dxfId="110" priority="51" stopIfTrue="1" operator="equal">
      <formula>"ESP. ERRADA"</formula>
    </cfRule>
  </conditionalFormatting>
  <conditionalFormatting sqref="O1057">
    <cfRule type="containsBlanks" dxfId="109" priority="50" stopIfTrue="1">
      <formula>LEN(TRIM(O1057))=0</formula>
    </cfRule>
  </conditionalFormatting>
  <conditionalFormatting sqref="X1051">
    <cfRule type="containsBlanks" dxfId="108" priority="49" stopIfTrue="1">
      <formula>LEN(TRIM(X1051))=0</formula>
    </cfRule>
  </conditionalFormatting>
  <conditionalFormatting sqref="X1118:X1120">
    <cfRule type="containsBlanks" dxfId="107" priority="46" stopIfTrue="1">
      <formula>LEN(TRIM(X1118))=0</formula>
    </cfRule>
  </conditionalFormatting>
  <conditionalFormatting sqref="U1118">
    <cfRule type="containsBlanks" dxfId="106" priority="45" stopIfTrue="1">
      <formula>LEN(TRIM(U1118))=0</formula>
    </cfRule>
  </conditionalFormatting>
  <conditionalFormatting sqref="S1065:U1114">
    <cfRule type="cellIs" dxfId="105" priority="48" operator="lessThan">
      <formula>0</formula>
    </cfRule>
  </conditionalFormatting>
  <conditionalFormatting sqref="V1119:V1120 V1117 V1122:V1125">
    <cfRule type="cellIs" dxfId="104" priority="47" stopIfTrue="1" operator="equal">
      <formula>"ESP. ERRADA"</formula>
    </cfRule>
  </conditionalFormatting>
  <conditionalFormatting sqref="X1123">
    <cfRule type="containsBlanks" dxfId="103" priority="44" stopIfTrue="1">
      <formula>LEN(TRIM(X1123))=0</formula>
    </cfRule>
  </conditionalFormatting>
  <conditionalFormatting sqref="N1051">
    <cfRule type="containsBlanks" dxfId="102" priority="43" stopIfTrue="1">
      <formula>LEN(TRIM(N1051))=0</formula>
    </cfRule>
  </conditionalFormatting>
  <conditionalFormatting sqref="P1051">
    <cfRule type="containsBlanks" dxfId="101" priority="42" stopIfTrue="1">
      <formula>LEN(TRIM(P1051))=0</formula>
    </cfRule>
  </conditionalFormatting>
  <conditionalFormatting sqref="O1051">
    <cfRule type="containsBlanks" dxfId="100" priority="41" stopIfTrue="1">
      <formula>LEN(TRIM(O1051))=0</formula>
    </cfRule>
  </conditionalFormatting>
  <conditionalFormatting sqref="O1058">
    <cfRule type="containsBlanks" dxfId="99" priority="40" stopIfTrue="1">
      <formula>LEN(TRIM(O1058))=0</formula>
    </cfRule>
  </conditionalFormatting>
  <conditionalFormatting sqref="O1059">
    <cfRule type="containsBlanks" dxfId="98" priority="39" stopIfTrue="1">
      <formula>LEN(TRIM(O1059))=0</formula>
    </cfRule>
  </conditionalFormatting>
  <conditionalFormatting sqref="O1065:O1114">
    <cfRule type="containsBlanks" dxfId="97" priority="38">
      <formula>LEN(TRIM(O1065))=0</formula>
    </cfRule>
  </conditionalFormatting>
  <conditionalFormatting sqref="S1123">
    <cfRule type="containsBlanks" dxfId="96" priority="37" stopIfTrue="1">
      <formula>LEN(TRIM(S1123))=0</formula>
    </cfRule>
  </conditionalFormatting>
  <conditionalFormatting sqref="P1057:P1058 Q1059">
    <cfRule type="uniqueValues" dxfId="95" priority="35"/>
    <cfRule type="duplicateValues" dxfId="94" priority="36"/>
  </conditionalFormatting>
  <conditionalFormatting sqref="Q1057:Q1058 P1059">
    <cfRule type="uniqueValues" dxfId="93" priority="33"/>
    <cfRule type="duplicateValues" dxfId="92" priority="34"/>
  </conditionalFormatting>
  <conditionalFormatting sqref="Q1051">
    <cfRule type="containsBlanks" dxfId="91" priority="32" stopIfTrue="1">
      <formula>LEN(TRIM(Q1051))=0</formula>
    </cfRule>
  </conditionalFormatting>
  <conditionalFormatting sqref="W774">
    <cfRule type="cellIs" dxfId="90" priority="30" stopIfTrue="1" operator="equal">
      <formula>0</formula>
    </cfRule>
  </conditionalFormatting>
  <conditionalFormatting sqref="W779">
    <cfRule type="cellIs" dxfId="89" priority="31" stopIfTrue="1" operator="equal">
      <formula>0</formula>
    </cfRule>
  </conditionalFormatting>
  <conditionalFormatting sqref="W848">
    <cfRule type="cellIs" dxfId="88" priority="28" stopIfTrue="1" operator="equal">
      <formula>0</formula>
    </cfRule>
  </conditionalFormatting>
  <conditionalFormatting sqref="W853">
    <cfRule type="cellIs" dxfId="87" priority="29" stopIfTrue="1" operator="equal">
      <formula>0</formula>
    </cfRule>
  </conditionalFormatting>
  <conditionalFormatting sqref="W922">
    <cfRule type="cellIs" dxfId="86" priority="26" stopIfTrue="1" operator="equal">
      <formula>0</formula>
    </cfRule>
  </conditionalFormatting>
  <conditionalFormatting sqref="W927">
    <cfRule type="cellIs" dxfId="85" priority="27" stopIfTrue="1" operator="equal">
      <formula>0</formula>
    </cfRule>
  </conditionalFormatting>
  <conditionalFormatting sqref="W1040">
    <cfRule type="cellIs" dxfId="84" priority="24" stopIfTrue="1" operator="equal">
      <formula>0</formula>
    </cfRule>
  </conditionalFormatting>
  <conditionalFormatting sqref="W1045">
    <cfRule type="cellIs" dxfId="83" priority="25" stopIfTrue="1" operator="equal">
      <formula>0</formula>
    </cfRule>
  </conditionalFormatting>
  <conditionalFormatting sqref="W1118">
    <cfRule type="cellIs" dxfId="82" priority="22" stopIfTrue="1" operator="equal">
      <formula>0</formula>
    </cfRule>
  </conditionalFormatting>
  <conditionalFormatting sqref="W1123">
    <cfRule type="cellIs" dxfId="81" priority="23" stopIfTrue="1" operator="equal">
      <formula>0</formula>
    </cfRule>
  </conditionalFormatting>
  <conditionalFormatting sqref="W1143">
    <cfRule type="cellIs" dxfId="80" priority="20" stopIfTrue="1" operator="equal">
      <formula>0</formula>
    </cfRule>
  </conditionalFormatting>
  <conditionalFormatting sqref="W1148">
    <cfRule type="cellIs" dxfId="79" priority="21" stopIfTrue="1" operator="equal">
      <formula>0</formula>
    </cfRule>
  </conditionalFormatting>
  <conditionalFormatting sqref="W1217">
    <cfRule type="cellIs" dxfId="78" priority="18" stopIfTrue="1" operator="equal">
      <formula>0</formula>
    </cfRule>
  </conditionalFormatting>
  <conditionalFormatting sqref="W1222">
    <cfRule type="cellIs" dxfId="77" priority="19" stopIfTrue="1" operator="equal">
      <formula>0</formula>
    </cfRule>
  </conditionalFormatting>
  <conditionalFormatting sqref="W1263">
    <cfRule type="cellIs" dxfId="76" priority="16" stopIfTrue="1" operator="equal">
      <formula>0</formula>
    </cfRule>
  </conditionalFormatting>
  <conditionalFormatting sqref="W1268">
    <cfRule type="cellIs" dxfId="75" priority="17" stopIfTrue="1" operator="equal">
      <formula>0</formula>
    </cfRule>
  </conditionalFormatting>
  <conditionalFormatting sqref="W660">
    <cfRule type="cellIs" dxfId="74" priority="15" stopIfTrue="1" operator="equal">
      <formula>0</formula>
    </cfRule>
  </conditionalFormatting>
  <conditionalFormatting sqref="V785 V789">
    <cfRule type="containsBlanks" dxfId="73" priority="14" stopIfTrue="1">
      <formula>LEN(TRIM(V785))=0</formula>
    </cfRule>
  </conditionalFormatting>
  <conditionalFormatting sqref="B791">
    <cfRule type="containsBlanks" dxfId="72" priority="13" stopIfTrue="1">
      <formula>LEN(TRIM(B791))=0</formula>
    </cfRule>
  </conditionalFormatting>
  <conditionalFormatting sqref="B792">
    <cfRule type="containsBlanks" dxfId="71" priority="12" stopIfTrue="1">
      <formula>LEN(TRIM(B792))=0</formula>
    </cfRule>
  </conditionalFormatting>
  <conditionalFormatting sqref="M785 O785">
    <cfRule type="containsBlanks" dxfId="70" priority="11" stopIfTrue="1">
      <formula>LEN(TRIM(M785))=0</formula>
    </cfRule>
  </conditionalFormatting>
  <conditionalFormatting sqref="N785">
    <cfRule type="containsBlanks" dxfId="69" priority="10" stopIfTrue="1">
      <formula>LEN(TRIM(N785))=0</formula>
    </cfRule>
  </conditionalFormatting>
  <conditionalFormatting sqref="V859 V863">
    <cfRule type="containsBlanks" dxfId="68" priority="9" stopIfTrue="1">
      <formula>LEN(TRIM(V859))=0</formula>
    </cfRule>
  </conditionalFormatting>
  <conditionalFormatting sqref="V1154">
    <cfRule type="containsBlanks" dxfId="67" priority="8" stopIfTrue="1">
      <formula>LEN(TRIM(V1154))=0</formula>
    </cfRule>
  </conditionalFormatting>
  <conditionalFormatting sqref="M1154 O1154">
    <cfRule type="containsBlanks" dxfId="66" priority="7" stopIfTrue="1">
      <formula>LEN(TRIM(M1154))=0</formula>
    </cfRule>
  </conditionalFormatting>
  <conditionalFormatting sqref="N1154">
    <cfRule type="containsBlanks" dxfId="65" priority="6" stopIfTrue="1">
      <formula>LEN(TRIM(N1154))=0</formula>
    </cfRule>
  </conditionalFormatting>
  <conditionalFormatting sqref="R975:R976">
    <cfRule type="containsBlanks" dxfId="64" priority="5" stopIfTrue="1">
      <formula>LEN(TRIM(R975))=0</formula>
    </cfRule>
  </conditionalFormatting>
  <conditionalFormatting sqref="S975:S979">
    <cfRule type="cellIs" dxfId="63" priority="3" operator="notEqual">
      <formula>$N$339</formula>
    </cfRule>
    <cfRule type="cellIs" dxfId="62" priority="4" operator="equal">
      <formula>$N$339</formula>
    </cfRule>
  </conditionalFormatting>
  <conditionalFormatting sqref="T975:T979">
    <cfRule type="cellIs" dxfId="61" priority="1" operator="notEqual">
      <formula>$O$339</formula>
    </cfRule>
    <cfRule type="cellIs" dxfId="60" priority="2" operator="equal">
      <formula>$O$339</formula>
    </cfRule>
  </conditionalFormatting>
  <dataValidations count="154">
    <dataValidation type="list" allowBlank="1" showInputMessage="1" showErrorMessage="1" sqref="M351 M987" xr:uid="{5429DD8A-42E6-4727-888C-EE9B1C330F26}">
      <formula1>R339:R343</formula1>
    </dataValidation>
    <dataValidation type="list" allowBlank="1" showInputMessage="1" showErrorMessage="1" sqref="O351 O987" xr:uid="{62D097BA-C68C-4931-AB6E-38F904490A72}">
      <formula1>M339:M343</formula1>
    </dataValidation>
    <dataValidation type="list" allowBlank="1" showInputMessage="1" showErrorMessage="1" sqref="Q351 Q987" xr:uid="{05F10698-2AE9-4D10-B55A-6314AFABD386}">
      <formula1>M339:M343</formula1>
    </dataValidation>
    <dataValidation type="whole" operator="equal" showDropDown="1" showInputMessage="1" showErrorMessage="1" error="Digitar na celula angulo a esquerda" sqref="M346 M982" xr:uid="{70E3BE9C-F86B-4B4A-BE85-5CF0B4E04079}">
      <formula1>C345</formula1>
    </dataValidation>
    <dataValidation type="list" allowBlank="1" showInputMessage="1" showErrorMessage="1" sqref="O352 O988" xr:uid="{3A253DB1-8D7B-4ED4-94B8-10B93BA02F83}">
      <formula1>M339:M343</formula1>
    </dataValidation>
    <dataValidation type="list" allowBlank="1" showInputMessage="1" showErrorMessage="1" sqref="M352 M988" xr:uid="{608EF3E8-E0C0-47A9-88CC-B1ABD6466263}">
      <formula1>R339:R343</formula1>
    </dataValidation>
    <dataValidation type="list" allowBlank="1" showInputMessage="1" showErrorMessage="1" sqref="M353 M989" xr:uid="{F8F61A26-3ACD-4BF4-AFB2-78E739863B23}">
      <formula1>R339:R343</formula1>
    </dataValidation>
    <dataValidation type="list" allowBlank="1" showInputMessage="1" showErrorMessage="1" sqref="M354 M990" xr:uid="{8822CED6-DE7D-4804-805E-5C12741AEA83}">
      <formula1>R339:R343</formula1>
    </dataValidation>
    <dataValidation type="list" allowBlank="1" showInputMessage="1" showErrorMessage="1" sqref="M355 M991" xr:uid="{4F60153B-FE55-4229-BDA3-0BCE03458962}">
      <formula1>R339:R343</formula1>
    </dataValidation>
    <dataValidation type="list" allowBlank="1" showInputMessage="1" showErrorMessage="1" sqref="M356 M992" xr:uid="{1A0EF5A5-0785-4BE2-9E1F-8BED83FD4404}">
      <formula1>R339:R343</formula1>
    </dataValidation>
    <dataValidation type="list" allowBlank="1" showInputMessage="1" showErrorMessage="1" sqref="M357 M993" xr:uid="{0531356C-E78A-4706-8FD2-CEF3F870BEA2}">
      <formula1>R339:R343</formula1>
    </dataValidation>
    <dataValidation type="list" allowBlank="1" showInputMessage="1" showErrorMessage="1" sqref="M358 M994" xr:uid="{08457C69-FCC4-4A5A-903D-1981F9128686}">
      <formula1>R339:R343</formula1>
    </dataValidation>
    <dataValidation type="list" allowBlank="1" showInputMessage="1" showErrorMessage="1" sqref="M359 M995" xr:uid="{9B5A319D-B920-4E3C-8D4A-6154CAE2C024}">
      <formula1>R339:R343</formula1>
    </dataValidation>
    <dataValidation type="list" allowBlank="1" showInputMessage="1" showErrorMessage="1" sqref="M360 M996" xr:uid="{1CE2DFA6-56BB-4C53-A391-97503A806EB2}">
      <formula1>R339:R343</formula1>
    </dataValidation>
    <dataValidation type="list" allowBlank="1" showInputMessage="1" showErrorMessage="1" sqref="M361 M997" xr:uid="{A811FEEC-099A-4D3A-A066-53DBC0A8C4DA}">
      <formula1>R339:R343</formula1>
    </dataValidation>
    <dataValidation type="list" allowBlank="1" showInputMessage="1" showErrorMessage="1" sqref="M362 M998" xr:uid="{3C9366EC-339C-46E9-B504-67BD5C27D317}">
      <formula1>R339:R343</formula1>
    </dataValidation>
    <dataValidation type="list" allowBlank="1" showInputMessage="1" showErrorMessage="1" sqref="M363 M999" xr:uid="{CDE2960C-DB6F-43D5-997F-460142ECCB23}">
      <formula1>R339:R343</formula1>
    </dataValidation>
    <dataValidation type="list" allowBlank="1" showInputMessage="1" showErrorMessage="1" sqref="M364 M1000" xr:uid="{EFFAA230-2642-43EB-BA30-AC1003B5649F}">
      <formula1>R339:R343</formula1>
    </dataValidation>
    <dataValidation type="list" allowBlank="1" showInputMessage="1" showErrorMessage="1" sqref="M365 M1001" xr:uid="{980EF874-C6BF-48F0-ADED-C8B4AAB68A46}">
      <formula1>R339:R343</formula1>
    </dataValidation>
    <dataValidation type="list" allowBlank="1" showInputMessage="1" showErrorMessage="1" sqref="M366 M1002" xr:uid="{96FE0A24-A5EC-4060-9CD3-2C300677352C}">
      <formula1>R339:R343</formula1>
    </dataValidation>
    <dataValidation type="list" allowBlank="1" showInputMessage="1" showErrorMessage="1" sqref="M367 M1003" xr:uid="{DEAA74D0-CE75-4739-961C-83A7C3EA9020}">
      <formula1>R339:R343</formula1>
    </dataValidation>
    <dataValidation type="list" allowBlank="1" showInputMessage="1" showErrorMessage="1" sqref="M368 M1004" xr:uid="{D25DEE9E-898E-451B-AAD1-7ADA6B87B91A}">
      <formula1>R339:R343</formula1>
    </dataValidation>
    <dataValidation type="list" allowBlank="1" showInputMessage="1" showErrorMessage="1" sqref="M369 M1005" xr:uid="{01C42920-7A90-4D66-BB34-7E8249EB1D0B}">
      <formula1>R339:R343</formula1>
    </dataValidation>
    <dataValidation type="list" allowBlank="1" showInputMessage="1" showErrorMessage="1" sqref="M370 M1006" xr:uid="{6526199F-AAAE-4E23-8180-551A0F8E9815}">
      <formula1>R339:R343</formula1>
    </dataValidation>
    <dataValidation type="list" allowBlank="1" showInputMessage="1" showErrorMessage="1" sqref="M371 M1007" xr:uid="{22E5F23E-71DC-482C-B6B4-C48BE103C189}">
      <formula1>R339:R343</formula1>
    </dataValidation>
    <dataValidation type="list" allowBlank="1" showInputMessage="1" showErrorMessage="1" sqref="M372 M1008" xr:uid="{A3956CD4-DD50-458A-A832-AF3818132B8D}">
      <formula1>R339:R343</formula1>
    </dataValidation>
    <dataValidation type="list" allowBlank="1" showInputMessage="1" showErrorMessage="1" sqref="M373 M1009" xr:uid="{16E4BB8D-DB88-40E7-9082-B861F6A8A282}">
      <formula1>R339:R343</formula1>
    </dataValidation>
    <dataValidation type="list" allowBlank="1" showInputMessage="1" showErrorMessage="1" sqref="M374 M1010" xr:uid="{5AE4F2B3-086E-4939-82F4-3C77591E60F4}">
      <formula1>R339:R343</formula1>
    </dataValidation>
    <dataValidation type="list" allowBlank="1" showInputMessage="1" showErrorMessage="1" sqref="M375 M1011" xr:uid="{468F9838-6AB9-4FB0-89F8-2481A3DDDF24}">
      <formula1>R339:R343</formula1>
    </dataValidation>
    <dataValidation type="list" allowBlank="1" showInputMessage="1" showErrorMessage="1" sqref="M376 M1012" xr:uid="{C0BFAC51-35FA-4FA6-94E2-ED1B5759D717}">
      <formula1>R339:R343</formula1>
    </dataValidation>
    <dataValidation type="list" allowBlank="1" showInputMessage="1" showErrorMessage="1" sqref="M377 M1013" xr:uid="{E94FD116-C3BD-4F11-8D93-DEA3AA73AD58}">
      <formula1>R339:R343</formula1>
    </dataValidation>
    <dataValidation type="list" allowBlank="1" showInputMessage="1" showErrorMessage="1" sqref="M378 M1014" xr:uid="{BD3D1418-7E2F-4B52-8190-1450EA86159A}">
      <formula1>R339:R343</formula1>
    </dataValidation>
    <dataValidation type="list" allowBlank="1" showInputMessage="1" showErrorMessage="1" sqref="M379 M1015" xr:uid="{3DFF5D75-8980-442F-B5DA-837D87280659}">
      <formula1>R339:R343</formula1>
    </dataValidation>
    <dataValidation type="list" allowBlank="1" showInputMessage="1" showErrorMessage="1" sqref="M380 M1016" xr:uid="{876DC2CD-5427-4E76-9EF7-D5F539D654A1}">
      <formula1>R339:R343</formula1>
    </dataValidation>
    <dataValidation type="list" allowBlank="1" showInputMessage="1" showErrorMessage="1" sqref="M381 M1017" xr:uid="{0203CB77-578B-4F6C-998B-F9CCE8B819D2}">
      <formula1>R339:R343</formula1>
    </dataValidation>
    <dataValidation type="list" allowBlank="1" showInputMessage="1" showErrorMessage="1" sqref="M382 M1018" xr:uid="{67C38A03-D0AB-4897-8E33-D6BED5E34B77}">
      <formula1>R339:R343</formula1>
    </dataValidation>
    <dataValidation type="list" allowBlank="1" showInputMessage="1" showErrorMessage="1" sqref="M383 M1019" xr:uid="{0F4CE7EB-F0BC-4F05-B922-A123B2506D50}">
      <formula1>R339:R343</formula1>
    </dataValidation>
    <dataValidation type="list" allowBlank="1" showInputMessage="1" showErrorMessage="1" sqref="M384 M1020" xr:uid="{C95F513F-A851-448D-B6BA-FF0A505585DD}">
      <formula1>R339:R343</formula1>
    </dataValidation>
    <dataValidation type="list" allowBlank="1" showInputMessage="1" showErrorMessage="1" sqref="M385 M1021" xr:uid="{9C6B253B-5DB7-476E-BADF-B1B81558D5B2}">
      <formula1>R339:R343</formula1>
    </dataValidation>
    <dataValidation type="list" allowBlank="1" showInputMessage="1" showErrorMessage="1" sqref="M386 M1022" xr:uid="{7C4F0F0A-26B3-4DB0-B169-A3D1C831BC2D}">
      <formula1>R339:R343</formula1>
    </dataValidation>
    <dataValidation type="list" allowBlank="1" showInputMessage="1" showErrorMessage="1" sqref="M387 M1023" xr:uid="{6C83C88C-8241-4F32-BC62-FB69FA0F33DE}">
      <formula1>R339:R343</formula1>
    </dataValidation>
    <dataValidation type="list" allowBlank="1" showInputMessage="1" showErrorMessage="1" sqref="M388 M1024" xr:uid="{1A6771B4-4CD9-416F-808A-3FD5D7D87CC8}">
      <formula1>R339:R343</formula1>
    </dataValidation>
    <dataValidation type="list" allowBlank="1" showInputMessage="1" showErrorMessage="1" sqref="M389 M1025" xr:uid="{479654CB-6DA6-473B-A824-A979272F8366}">
      <formula1>R339:R343</formula1>
    </dataValidation>
    <dataValidation type="list" allowBlank="1" showInputMessage="1" showErrorMessage="1" sqref="M390 M1026" xr:uid="{90ED6909-692C-45A6-B543-AE2C472650AC}">
      <formula1>R339:R343</formula1>
    </dataValidation>
    <dataValidation type="list" allowBlank="1" showInputMessage="1" showErrorMessage="1" sqref="M391 M1027" xr:uid="{AE74F27B-0EA4-46F5-9530-343B8C011818}">
      <formula1>R339:R343</formula1>
    </dataValidation>
    <dataValidation type="list" allowBlank="1" showInputMessage="1" showErrorMessage="1" sqref="M392 M1028" xr:uid="{F695DD60-709F-4E8E-BD77-63C63A3DE9B6}">
      <formula1>R339:R343</formula1>
    </dataValidation>
    <dataValidation type="list" allowBlank="1" showInputMessage="1" showErrorMessage="1" sqref="M393:M400 M1029:M1036" xr:uid="{ACF9980A-9BFB-48E7-BEDC-905F40B5332B}">
      <formula1>R339:R343</formula1>
    </dataValidation>
    <dataValidation type="list" allowBlank="1" showInputMessage="1" showErrorMessage="1" sqref="M394 M1030" xr:uid="{F34BDE5F-D463-4D2E-BC4A-0B97DA5A7C74}">
      <formula1>R339:R343</formula1>
    </dataValidation>
    <dataValidation type="list" allowBlank="1" showInputMessage="1" showErrorMessage="1" sqref="M395 M1031" xr:uid="{0EA5C8AA-4660-4FB9-BDF4-2F735D8F650B}">
      <formula1>R339:R343</formula1>
    </dataValidation>
    <dataValidation type="list" allowBlank="1" showInputMessage="1" showErrorMessage="1" sqref="M396 M1032" xr:uid="{E652E1D5-0FB2-4E00-807D-DA85552BCBA0}">
      <formula1>R339:R343</formula1>
    </dataValidation>
    <dataValidation type="list" allowBlank="1" showInputMessage="1" showErrorMessage="1" sqref="M397 M1033" xr:uid="{580E89C2-6137-4FA2-99D7-04F085AE5028}">
      <formula1>R339:R343</formula1>
    </dataValidation>
    <dataValidation type="list" allowBlank="1" showInputMessage="1" showErrorMessage="1" sqref="M398 M1034" xr:uid="{75D8D872-4745-478C-9DE1-8AA9A76A0A44}">
      <formula1>R339:R343</formula1>
    </dataValidation>
    <dataValidation type="list" allowBlank="1" showInputMessage="1" showErrorMessage="1" sqref="M399 M1035" xr:uid="{8E8038B7-910E-4838-93A6-BB6A73B74085}">
      <formula1>R339:R343</formula1>
    </dataValidation>
    <dataValidation type="list" allowBlank="1" showInputMessage="1" showErrorMessage="1" sqref="M400 M1036" xr:uid="{6F73D238-0812-4D51-A6AA-D5F5532F2424}">
      <formula1>R339:R343</formula1>
    </dataValidation>
    <dataValidation type="list" allowBlank="1" showInputMessage="1" showErrorMessage="1" sqref="O353 O989" xr:uid="{8F6F362D-73A2-481A-AF37-531EDFAD87EC}">
      <formula1>M339:M343</formula1>
    </dataValidation>
    <dataValidation type="list" allowBlank="1" showInputMessage="1" showErrorMessage="1" sqref="O354 O990" xr:uid="{A23341FC-68E7-482F-9E4A-E3CB516C1250}">
      <formula1>M339:M343</formula1>
    </dataValidation>
    <dataValidation type="list" allowBlank="1" showInputMessage="1" showErrorMessage="1" sqref="O355 O991" xr:uid="{40F2BF35-B543-4583-B3D3-C3845A6CD480}">
      <formula1>M339:M343</formula1>
    </dataValidation>
    <dataValidation type="list" allowBlank="1" showInputMessage="1" showErrorMessage="1" sqref="O356 O992" xr:uid="{BB052901-F9D7-497B-B5A7-982DF6995BC5}">
      <formula1>M339:M343</formula1>
    </dataValidation>
    <dataValidation type="list" allowBlank="1" showInputMessage="1" showErrorMessage="1" sqref="O357 O993" xr:uid="{5E23BFA5-7BD2-488E-90FC-44C86C87EB55}">
      <formula1>M339:M343</formula1>
    </dataValidation>
    <dataValidation type="list" allowBlank="1" showInputMessage="1" showErrorMessage="1" sqref="O358 O994" xr:uid="{2E32C322-F6E1-44CF-9D3B-1EEBA1E8E784}">
      <formula1>M339:M343</formula1>
    </dataValidation>
    <dataValidation type="list" allowBlank="1" showInputMessage="1" showErrorMessage="1" sqref="O359 O995" xr:uid="{0BFEABE0-6034-4492-A5DC-91C3E20CEA40}">
      <formula1>M339:M343</formula1>
    </dataValidation>
    <dataValidation type="list" allowBlank="1" showInputMessage="1" showErrorMessage="1" sqref="O360 O996" xr:uid="{AAADD743-2B97-4C46-96D1-5429E23B1A55}">
      <formula1>M339:M343</formula1>
    </dataValidation>
    <dataValidation type="list" allowBlank="1" showInputMessage="1" showErrorMessage="1" sqref="O361 O997" xr:uid="{7C7D0011-7190-4C8A-AA1B-46AC55957709}">
      <formula1>M339:M343</formula1>
    </dataValidation>
    <dataValidation type="list" allowBlank="1" showInputMessage="1" showErrorMessage="1" sqref="O362 O998" xr:uid="{8313B5AC-2974-433F-8D19-D54137F1AF60}">
      <formula1>M339:M343</formula1>
    </dataValidation>
    <dataValidation type="list" allowBlank="1" showInputMessage="1" showErrorMessage="1" sqref="O363 O999" xr:uid="{72468F20-61F0-41FC-A15B-5097BD69271D}">
      <formula1>M339:M343</formula1>
    </dataValidation>
    <dataValidation type="list" allowBlank="1" showInputMessage="1" showErrorMessage="1" sqref="O364 O1000" xr:uid="{AE7CE431-5ECE-4DFC-BBB2-395795FC16E2}">
      <formula1>M339:M343</formula1>
    </dataValidation>
    <dataValidation type="list" allowBlank="1" showInputMessage="1" showErrorMessage="1" sqref="O365 O1001" xr:uid="{735CF7A6-CB19-4CF4-A5DA-11E0239227EB}">
      <formula1>M339:M343</formula1>
    </dataValidation>
    <dataValidation type="list" allowBlank="1" showInputMessage="1" showErrorMessage="1" sqref="O366 O1002" xr:uid="{9B508997-0C44-4406-83EF-C5E0EBA16F3C}">
      <formula1>M339:M343</formula1>
    </dataValidation>
    <dataValidation type="list" allowBlank="1" showInputMessage="1" showErrorMessage="1" sqref="O367 O1003" xr:uid="{B2DE407A-E05A-4962-A452-B7AEF3C01585}">
      <formula1>M339:M343</formula1>
    </dataValidation>
    <dataValidation type="list" allowBlank="1" showInputMessage="1" showErrorMessage="1" sqref="O368 O1004" xr:uid="{8D7CCAAD-6AFC-4120-8F82-63F2F2229CCC}">
      <formula1>M339:M343</formula1>
    </dataValidation>
    <dataValidation type="list" allowBlank="1" showInputMessage="1" showErrorMessage="1" sqref="O369 O1005" xr:uid="{FC85BE5E-41EF-43A8-804C-E56C1C720998}">
      <formula1>M339:M343</formula1>
    </dataValidation>
    <dataValidation type="list" allowBlank="1" showInputMessage="1" showErrorMessage="1" sqref="O370 O1006" xr:uid="{2C656E3B-78E6-4421-9CAB-B0D9E641C341}">
      <formula1>M339:M343</formula1>
    </dataValidation>
    <dataValidation type="list" allowBlank="1" showInputMessage="1" showErrorMessage="1" sqref="O371 O1007" xr:uid="{C8C94267-DABB-4FB1-8DC0-6BE6C3719BA4}">
      <formula1>M339:M343</formula1>
    </dataValidation>
    <dataValidation type="list" allowBlank="1" showInputMessage="1" showErrorMessage="1" sqref="O372 O1008" xr:uid="{838CB2B5-653C-4096-90E9-558155D8C9F2}">
      <formula1>M339:M343</formula1>
    </dataValidation>
    <dataValidation type="list" allowBlank="1" showInputMessage="1" showErrorMessage="1" sqref="O373 O1009" xr:uid="{D2B606B3-2E62-4F3B-BF34-659FC1A3FE6E}">
      <formula1>M339:M343</formula1>
    </dataValidation>
    <dataValidation type="list" allowBlank="1" showInputMessage="1" showErrorMessage="1" sqref="O374 O1010" xr:uid="{8FCECBF1-5E7E-4199-BACA-3E0C71381004}">
      <formula1>M339:M343</formula1>
    </dataValidation>
    <dataValidation type="list" allowBlank="1" showInputMessage="1" showErrorMessage="1" sqref="O375 O1011" xr:uid="{822F0FB2-58EF-4277-A6B2-58EC877E9D68}">
      <formula1>M339:M343</formula1>
    </dataValidation>
    <dataValidation type="list" allowBlank="1" showInputMessage="1" showErrorMessage="1" sqref="O376 O1012" xr:uid="{75C7EE7E-FBA8-4B98-A647-6CB96EFF81F0}">
      <formula1>M339:M343</formula1>
    </dataValidation>
    <dataValidation type="list" allowBlank="1" showInputMessage="1" showErrorMessage="1" sqref="O377 O1013" xr:uid="{6555922D-9DA8-486C-8DF4-0A129DC77CDB}">
      <formula1>M339:M343</formula1>
    </dataValidation>
    <dataValidation type="list" allowBlank="1" showInputMessage="1" showErrorMessage="1" sqref="O378 O1014" xr:uid="{88308297-519B-411E-8457-D64F65413AD0}">
      <formula1>M339:M343</formula1>
    </dataValidation>
    <dataValidation type="list" allowBlank="1" showInputMessage="1" showErrorMessage="1" sqref="O379 O1015" xr:uid="{B7332E0F-0AF8-405F-B467-AE97E82A2408}">
      <formula1>M339:M343</formula1>
    </dataValidation>
    <dataValidation type="list" allowBlank="1" showInputMessage="1" showErrorMessage="1" sqref="O380 O1016" xr:uid="{2495844B-5739-4940-94EE-E0E225301DD8}">
      <formula1>M339:M343</formula1>
    </dataValidation>
    <dataValidation type="list" allowBlank="1" showInputMessage="1" showErrorMessage="1" sqref="O381 O1017" xr:uid="{782C1BB0-F3DF-4561-8442-3190987B7158}">
      <formula1>M339:M343</formula1>
    </dataValidation>
    <dataValidation type="list" allowBlank="1" showInputMessage="1" showErrorMessage="1" sqref="O382 O1018" xr:uid="{C168DD4A-7DF5-4A8E-985D-440912FBDED9}">
      <formula1>M339:M343</formula1>
    </dataValidation>
    <dataValidation type="list" allowBlank="1" showInputMessage="1" showErrorMessage="1" sqref="O383 O1019" xr:uid="{4AEB3D85-86F7-4911-BF16-4640B6FAF9D3}">
      <formula1>M339:M343</formula1>
    </dataValidation>
    <dataValidation type="list" allowBlank="1" showInputMessage="1" showErrorMessage="1" sqref="O384 O1020" xr:uid="{A0B16E41-A4D0-4F2F-B6B1-9EABC93A5BE5}">
      <formula1>M339:M343</formula1>
    </dataValidation>
    <dataValidation type="list" allowBlank="1" showInputMessage="1" showErrorMessage="1" sqref="O385 O1021" xr:uid="{B8DCC675-F944-416A-A8FE-94AAD01077D3}">
      <formula1>M339:M343</formula1>
    </dataValidation>
    <dataValidation type="list" allowBlank="1" showInputMessage="1" showErrorMessage="1" sqref="O386 O1022" xr:uid="{F980E800-89D2-4D63-B7A6-D01F154DE089}">
      <formula1>M339:M343</formula1>
    </dataValidation>
    <dataValidation type="list" allowBlank="1" showInputMessage="1" showErrorMessage="1" sqref="O387 O1023" xr:uid="{B92D32D6-13EE-4B1A-89A9-1628A0AFCEF5}">
      <formula1>M339:M343</formula1>
    </dataValidation>
    <dataValidation type="list" allowBlank="1" showInputMessage="1" showErrorMessage="1" sqref="O388 O1024" xr:uid="{65403985-5E69-4D93-AB53-395536C1B55B}">
      <formula1>M339:M343</formula1>
    </dataValidation>
    <dataValidation type="list" allowBlank="1" showInputMessage="1" showErrorMessage="1" sqref="O389 O1025" xr:uid="{E2732305-3C20-43C7-B081-2313A332D505}">
      <formula1>M339:M343</formula1>
    </dataValidation>
    <dataValidation type="list" allowBlank="1" showInputMessage="1" showErrorMessage="1" sqref="O390 O1026" xr:uid="{E2361A58-4F37-453A-B18F-94384B790527}">
      <formula1>M339:M343</formula1>
    </dataValidation>
    <dataValidation type="list" allowBlank="1" showInputMessage="1" showErrorMessage="1" sqref="O391 O1027" xr:uid="{0A69178C-7495-4913-856C-4A6892E54333}">
      <formula1>M339:M343</formula1>
    </dataValidation>
    <dataValidation type="list" allowBlank="1" showInputMessage="1" showErrorMessage="1" sqref="O392 O1028" xr:uid="{F285F519-F9C5-4FC0-AFBC-14D0D2B753E0}">
      <formula1>M339:M343</formula1>
    </dataValidation>
    <dataValidation type="list" allowBlank="1" showInputMessage="1" showErrorMessage="1" sqref="O393 O1029" xr:uid="{468CF5D3-4ADF-4281-91F2-04153B0A5086}">
      <formula1>M339:M343</formula1>
    </dataValidation>
    <dataValidation type="list" allowBlank="1" showInputMessage="1" showErrorMessage="1" sqref="O394 O1030" xr:uid="{9D756A6B-46DC-4B89-A344-30FAB85331B8}">
      <formula1>M339:M343</formula1>
    </dataValidation>
    <dataValidation type="list" allowBlank="1" showInputMessage="1" showErrorMessage="1" sqref="O395 O1031" xr:uid="{011F85F1-DFA3-4F3E-8834-2CAD4943BA16}">
      <formula1>M339:M343</formula1>
    </dataValidation>
    <dataValidation type="list" allowBlank="1" showInputMessage="1" showErrorMessage="1" sqref="O396 O1032" xr:uid="{0C097555-7E4C-4D58-AFF0-96BA8DAFF37C}">
      <formula1>M339:M343</formula1>
    </dataValidation>
    <dataValidation type="list" allowBlank="1" showInputMessage="1" showErrorMessage="1" sqref="O397 O1033" xr:uid="{CC189470-99B6-4CB2-90F0-927B9257B9F0}">
      <formula1>M339:M343</formula1>
    </dataValidation>
    <dataValidation type="list" allowBlank="1" showInputMessage="1" showErrorMessage="1" sqref="O398 O1034" xr:uid="{8A461132-B91A-42FE-95DB-AE1CB0F6A2D8}">
      <formula1>M339:M343</formula1>
    </dataValidation>
    <dataValidation type="list" allowBlank="1" showInputMessage="1" showErrorMessage="1" sqref="O399 O1035" xr:uid="{B2D926B6-D213-436B-A704-2BA1F179CF3F}">
      <formula1>M339:M343</formula1>
    </dataValidation>
    <dataValidation type="list" allowBlank="1" showInputMessage="1" showErrorMessage="1" sqref="O400 O1036" xr:uid="{0612073C-0D83-46E2-845B-048A8431157A}">
      <formula1>M339:M343</formula1>
    </dataValidation>
    <dataValidation type="list" allowBlank="1" showInputMessage="1" showErrorMessage="1" sqref="Q352 Q988" xr:uid="{04091CAD-E2FC-4F41-9B71-27EA9C1F57C6}">
      <formula1>M339:M343</formula1>
    </dataValidation>
    <dataValidation type="list" allowBlank="1" showInputMessage="1" showErrorMessage="1" sqref="Q353 Q989" xr:uid="{6B2C0117-F257-4A4C-8D8D-B9DDBCE7122A}">
      <formula1>M339:M343</formula1>
    </dataValidation>
    <dataValidation type="list" allowBlank="1" showInputMessage="1" showErrorMessage="1" sqref="Q354 Q990" xr:uid="{5E562984-59CB-44BB-B5F3-CA857EEA7626}">
      <formula1>M339:M343</formula1>
    </dataValidation>
    <dataValidation type="list" allowBlank="1" showInputMessage="1" showErrorMessage="1" sqref="Q355 Q991" xr:uid="{13FD23DF-EE2E-4498-ADC8-3FD499F7D98B}">
      <formula1>M339:M343</formula1>
    </dataValidation>
    <dataValidation type="list" allowBlank="1" showInputMessage="1" showErrorMessage="1" sqref="Q356 Q992" xr:uid="{81552932-0A87-44CB-B7B5-7A48E8BE0514}">
      <formula1>M339:M343</formula1>
    </dataValidation>
    <dataValidation type="list" allowBlank="1" showInputMessage="1" showErrorMessage="1" sqref="Q357 Q993" xr:uid="{2CBEA466-138B-4C2D-A666-194EABD90613}">
      <formula1>M339:M343</formula1>
    </dataValidation>
    <dataValidation type="list" allowBlank="1" showInputMessage="1" showErrorMessage="1" sqref="Q358 Q994" xr:uid="{A6C7CFFF-D6B9-4472-A8D5-2AE8AD836AA2}">
      <formula1>M339:M343</formula1>
    </dataValidation>
    <dataValidation type="list" allowBlank="1" showInputMessage="1" showErrorMessage="1" sqref="Q359 Q995" xr:uid="{53C27FC2-C093-4AEA-88D4-2CE3615D2D15}">
      <formula1>M339:M343</formula1>
    </dataValidation>
    <dataValidation type="list" allowBlank="1" showInputMessage="1" showErrorMessage="1" sqref="Q360 Q996" xr:uid="{D08C1BC2-4608-4E44-ABC0-4BD218AFFA9C}">
      <formula1>M339:M343</formula1>
    </dataValidation>
    <dataValidation type="list" allowBlank="1" showInputMessage="1" showErrorMessage="1" sqref="Q361 Q997" xr:uid="{5001921A-F8B8-4D1E-9596-DAE22252EC0C}">
      <formula1>M339:M343</formula1>
    </dataValidation>
    <dataValidation type="list" allowBlank="1" showInputMessage="1" showErrorMessage="1" sqref="Q362 Q998" xr:uid="{E4AA99AC-E0F9-413A-BA74-7E9484EED1A0}">
      <formula1>M339:M343</formula1>
    </dataValidation>
    <dataValidation type="list" allowBlank="1" showInputMessage="1" showErrorMessage="1" sqref="Q363 Q999" xr:uid="{AD0D592E-91EF-4D1F-ADCD-36924B854B02}">
      <formula1>M339:M343</formula1>
    </dataValidation>
    <dataValidation type="list" allowBlank="1" showInputMessage="1" showErrorMessage="1" sqref="Q364 Q1000" xr:uid="{36E7F628-57F8-4D36-9F5F-75AA0DCFFE0C}">
      <formula1>M339:M343</formula1>
    </dataValidation>
    <dataValidation type="list" allowBlank="1" showInputMessage="1" showErrorMessage="1" sqref="Q365 Q1001" xr:uid="{AE232BF4-98F2-41DE-A00C-FE685A7E68E9}">
      <formula1>M339:M343</formula1>
    </dataValidation>
    <dataValidation type="list" allowBlank="1" showInputMessage="1" showErrorMessage="1" sqref="Q366 Q1002" xr:uid="{4D669C83-9770-4077-A474-2310E598E84B}">
      <formula1>M339:M343</formula1>
    </dataValidation>
    <dataValidation type="list" allowBlank="1" showInputMessage="1" showErrorMessage="1" sqref="Q367 Q1003" xr:uid="{5EC072F8-3548-40BD-82EA-08108D77C360}">
      <formula1>M339:M343</formula1>
    </dataValidation>
    <dataValidation type="list" allowBlank="1" showInputMessage="1" showErrorMessage="1" sqref="Q368 Q1004" xr:uid="{BDCAC668-3242-4072-8549-2044CEA0B70B}">
      <formula1>M339:M343</formula1>
    </dataValidation>
    <dataValidation type="list" allowBlank="1" showInputMessage="1" showErrorMessage="1" sqref="Q369 Q1005" xr:uid="{00B51BAC-CE6C-4969-8870-440D755E6085}">
      <formula1>M339:M343</formula1>
    </dataValidation>
    <dataValidation type="list" allowBlank="1" showInputMessage="1" showErrorMessage="1" sqref="Q370 Q1006" xr:uid="{F00E82B1-AA13-4B04-9960-0FE3C60B7203}">
      <formula1>M339:M343</formula1>
    </dataValidation>
    <dataValidation type="list" allowBlank="1" showInputMessage="1" showErrorMessage="1" sqref="Q371 Q1007" xr:uid="{43E448EC-E360-4433-8504-14B7F293C204}">
      <formula1>M339:M343</formula1>
    </dataValidation>
    <dataValidation type="list" allowBlank="1" showInputMessage="1" showErrorMessage="1" sqref="Q372 Q1008" xr:uid="{62086BF2-E0DF-43F3-A793-3B1123290CF7}">
      <formula1>M339:M343</formula1>
    </dataValidation>
    <dataValidation type="list" allowBlank="1" showInputMessage="1" showErrorMessage="1" sqref="Q373 Q1009" xr:uid="{C967760E-B925-4D1F-A785-5F33C476E2DC}">
      <formula1>M339:M343</formula1>
    </dataValidation>
    <dataValidation type="list" allowBlank="1" showInputMessage="1" showErrorMessage="1" sqref="Q374 Q1010" xr:uid="{EA87AE34-83D8-4974-9344-58F97411ECBD}">
      <formula1>M339:M343</formula1>
    </dataValidation>
    <dataValidation type="list" allowBlank="1" showInputMessage="1" showErrorMessage="1" sqref="Q375 Q1011" xr:uid="{33CFBA2A-DEAB-4952-9D5C-FFEC091AF6F6}">
      <formula1>M339:M343</formula1>
    </dataValidation>
    <dataValidation type="list" allowBlank="1" showInputMessage="1" showErrorMessage="1" sqref="Q376 Q1012" xr:uid="{C29939D3-BB3C-48A3-95DC-B96F6B38A203}">
      <formula1>M339:M343</formula1>
    </dataValidation>
    <dataValidation type="list" allowBlank="1" showInputMessage="1" showErrorMessage="1" sqref="Q377 Q1013" xr:uid="{29044435-C8F4-42DA-8B90-A681A8D80C2D}">
      <formula1>M339:M343</formula1>
    </dataValidation>
    <dataValidation type="list" allowBlank="1" showInputMessage="1" showErrorMessage="1" sqref="Q378 Q1014" xr:uid="{60C15329-D009-4E6F-9848-5FCAF8787BBB}">
      <formula1>M339:M343</formula1>
    </dataValidation>
    <dataValidation type="list" allowBlank="1" showInputMessage="1" showErrorMessage="1" sqref="Q379 Q1015" xr:uid="{D615CCC6-4944-4BD4-B404-7A42C300C203}">
      <formula1>M339:M343</formula1>
    </dataValidation>
    <dataValidation type="list" allowBlank="1" showInputMessage="1" showErrorMessage="1" sqref="Q380 Q1016" xr:uid="{2CB37B8A-0C54-43FE-A351-BEB2E1BD1D2A}">
      <formula1>M339:M343</formula1>
    </dataValidation>
    <dataValidation type="list" allowBlank="1" showInputMessage="1" showErrorMessage="1" sqref="Q381 Q1017" xr:uid="{51474AB3-F596-4A75-A62B-6DC7FD5A33C3}">
      <formula1>M339:M343</formula1>
    </dataValidation>
    <dataValidation type="list" allowBlank="1" showInputMessage="1" showErrorMessage="1" sqref="Q382 Q1018" xr:uid="{11E8847A-046A-47F7-976B-1F0D49494678}">
      <formula1>M339:M343</formula1>
    </dataValidation>
    <dataValidation type="list" allowBlank="1" showInputMessage="1" showErrorMessage="1" sqref="Q383 Q1019" xr:uid="{907C0E4D-C7F8-4731-9410-342CBE044B76}">
      <formula1>M339:M343</formula1>
    </dataValidation>
    <dataValidation type="list" allowBlank="1" showInputMessage="1" showErrorMessage="1" sqref="Q384 Q1020" xr:uid="{1FF28C03-1D35-4A71-ACFB-8E8294AFA351}">
      <formula1>M339:M343</formula1>
    </dataValidation>
    <dataValidation type="list" allowBlank="1" showInputMessage="1" showErrorMessage="1" sqref="Q385 Q1021" xr:uid="{B41791AA-5C8B-4A67-B7CD-7663AF5F59AF}">
      <formula1>M339:M343</formula1>
    </dataValidation>
    <dataValidation type="list" allowBlank="1" showInputMessage="1" showErrorMessage="1" sqref="Q386 Q1022" xr:uid="{9911F80A-76E6-4287-956C-5AC1E3022B19}">
      <formula1>M339:M343</formula1>
    </dataValidation>
    <dataValidation type="list" allowBlank="1" showInputMessage="1" showErrorMessage="1" sqref="Q387 Q1023" xr:uid="{1FCE2EAB-D932-4243-8C2D-486AB6B07651}">
      <formula1>M339:M343</formula1>
    </dataValidation>
    <dataValidation type="list" allowBlank="1" showInputMessage="1" showErrorMessage="1" sqref="Q388 Q1024" xr:uid="{33BFEAAA-F380-40A0-A549-AA518A56F221}">
      <formula1>M339:M343</formula1>
    </dataValidation>
    <dataValidation type="list" allowBlank="1" showInputMessage="1" showErrorMessage="1" sqref="Q389 Q1025" xr:uid="{6F517814-6139-442B-AE07-3ADC50F6F22D}">
      <formula1>M339:M343</formula1>
    </dataValidation>
    <dataValidation type="list" allowBlank="1" showInputMessage="1" showErrorMessage="1" sqref="Q390 Q1026" xr:uid="{8997DE2F-1954-438E-8412-4379A794422F}">
      <formula1>M339:M343</formula1>
    </dataValidation>
    <dataValidation type="list" allowBlank="1" showInputMessage="1" showErrorMessage="1" sqref="Q391 Q1027" xr:uid="{9BCF776F-C634-4E19-8BBC-6EA777853EF6}">
      <formula1>M339:M343</formula1>
    </dataValidation>
    <dataValidation type="list" allowBlank="1" showInputMessage="1" showErrorMessage="1" sqref="Q392 Q1028" xr:uid="{D7FC9B42-5C83-43D6-A1B1-72C9516BC9E0}">
      <formula1>M339:M343</formula1>
    </dataValidation>
    <dataValidation type="list" allowBlank="1" showInputMessage="1" showErrorMessage="1" sqref="Q393 Q1029" xr:uid="{29765643-8E36-47AA-B977-0FE4CD64D718}">
      <formula1>M339:M343</formula1>
    </dataValidation>
    <dataValidation type="list" allowBlank="1" showInputMessage="1" showErrorMessage="1" sqref="Q394 Q1030" xr:uid="{B0E9BCA6-69E7-43CC-87AE-BDD2B48F89DC}">
      <formula1>M339:M343</formula1>
    </dataValidation>
    <dataValidation type="list" allowBlank="1" showInputMessage="1" showErrorMessage="1" sqref="Q395 Q1031" xr:uid="{DC84FDA5-ADCF-422D-B544-D30DCA50DE25}">
      <formula1>M339:M343</formula1>
    </dataValidation>
    <dataValidation type="list" allowBlank="1" showInputMessage="1" showErrorMessage="1" sqref="Q396 Q1032" xr:uid="{93F8D7B5-E999-472D-AE49-1BC4C9511AA2}">
      <formula1>M339:M343</formula1>
    </dataValidation>
    <dataValidation type="list" allowBlank="1" showInputMessage="1" showErrorMessage="1" sqref="Q397 Q1033" xr:uid="{2E574001-640F-423F-9D3B-0D04FCD91D48}">
      <formula1>M339:M343</formula1>
    </dataValidation>
    <dataValidation type="list" allowBlank="1" showInputMessage="1" showErrorMessage="1" sqref="Q398 Q1034" xr:uid="{14AF3528-0B1F-40B7-8CC5-6411427E2244}">
      <formula1>M339:M343</formula1>
    </dataValidation>
    <dataValidation type="list" allowBlank="1" showInputMessage="1" showErrorMessage="1" sqref="Q399 Q1035" xr:uid="{5CD4D7D0-04DF-4025-97A6-B239BE9DD8B5}">
      <formula1>M339:M343</formula1>
    </dataValidation>
    <dataValidation type="list" allowBlank="1" showInputMessage="1" showErrorMessage="1" sqref="Q400 Q1036" xr:uid="{4BDBD21C-0C66-4F3C-A996-EDFFA72F073B}">
      <formula1>M339:M343</formula1>
    </dataValidation>
    <dataValidation type="list" allowBlank="1" showInputMessage="1" showErrorMessage="1" sqref="R223 R859" xr:uid="{531E866A-9B6C-46E5-85CA-7594025A15BF}">
      <formula1>"Horizontal,Inclinado"</formula1>
    </dataValidation>
    <dataValidation type="whole" operator="lessThanOrEqual" allowBlank="1" showInputMessage="1" showErrorMessage="1" sqref="Q415 Q1051" xr:uid="{F13AFBF0-24EA-4816-9A65-424BD50E9D66}">
      <formula1>50</formula1>
    </dataValidation>
    <dataValidation type="list" allowBlank="1" showInputMessage="1" showErrorMessage="1" sqref="AB2" xr:uid="{AD66EE15-08D8-449A-859F-9AC177EE5C13}">
      <formula1>"150 - STEEL LADLE"</formula1>
    </dataValidation>
  </dataValidations>
  <pageMargins left="0.39370078740157483" right="0.39370078740157483" top="0.39370078740157483" bottom="0.39370078740157483" header="0" footer="0"/>
  <pageSetup paperSize="9" scale="36" fitToHeight="0" orientation="portrait" r:id="rId1"/>
  <headerFooter alignWithMargins="0"/>
  <drawing r:id="rId2"/>
  <legacyDrawing r:id="rId3"/>
  <controls>
    <mc:AlternateContent xmlns:mc="http://schemas.openxmlformats.org/markup-compatibility/2006">
      <mc:Choice Requires="x14">
        <control shapeId="97537" r:id="rId4" name="TempCombo">
          <controlPr defaultSize="0" autoLine="0" r:id="rId5">
            <anchor moveWithCells="1">
              <from>
                <xdr:col>12</xdr:col>
                <xdr:colOff>0</xdr:colOff>
                <xdr:row>590</xdr:row>
                <xdr:rowOff>0</xdr:rowOff>
              </from>
              <to>
                <xdr:col>13</xdr:col>
                <xdr:colOff>38100</xdr:colOff>
                <xdr:row>591</xdr:row>
                <xdr:rowOff>68580</xdr:rowOff>
              </to>
            </anchor>
          </controlPr>
        </control>
      </mc:Choice>
      <mc:Fallback>
        <control shapeId="97537" r:id="rId4" name="TempCombo"/>
      </mc:Fallback>
    </mc:AlternateContent>
    <mc:AlternateContent xmlns:mc="http://schemas.openxmlformats.org/markup-compatibility/2006">
      <mc:Choice Requires="x14">
        <control shapeId="88216" r:id="rId6" name="Button 152">
          <controlPr defaultSize="0" print="0" autoFill="0" autoPict="0" macro="[0]!ListaMaterial_TOTAL">
            <anchor moveWithCells="1" sizeWithCells="1">
              <from>
                <xdr:col>24</xdr:col>
                <xdr:colOff>60960</xdr:colOff>
                <xdr:row>0</xdr:row>
                <xdr:rowOff>38100</xdr:rowOff>
              </from>
              <to>
                <xdr:col>24</xdr:col>
                <xdr:colOff>1623060</xdr:colOff>
                <xdr:row>0</xdr:row>
                <xdr:rowOff>373380</xdr:rowOff>
              </to>
            </anchor>
          </controlPr>
        </control>
      </mc:Choice>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1E0660E3-06F7-466D-A7A5-1EDD8AFFE7F6}">
          <x14:formula1>
            <xm:f>Densidades!$A:$A</xm:f>
          </x14:formula1>
          <xm:sqref>X24 X487 X482 X415 X17 X615 X143 X138 X124 X291 X40 X286 X632 X223 X98 X409 X404 X297 X87 X83 X75 X638 X66 X600 X592 X627 X149 X118 X106 X113 X29 X34 X48 X59 X217 X212 X512 X507 X493 X607 X586 X581 X518 X660 X1123 X1118 X1051 X653 X1251 X779 X774 X760 X927 X676 X922 X1268 X859 X734 X1045 X1040 X933 X723 X719 X711 X1274 X702 X1236 X1228 X1263 X785 X754 X742 X749 X665 X670 X684 X695 X853 X848 X1148 X1143 X1129 X1243 X1222 X1217 X1154</xm:sqref>
        </x14:dataValidation>
        <x14:dataValidation type="list" allowBlank="1" showDropDown="1" showInputMessage="1" showErrorMessage="1" xr:uid="{CAC9C81D-98A7-49BB-B647-F44A34ACB9CB}">
          <x14:formula1>
            <xm:f>Densidades!$A:$A</xm:f>
          </x14:formula1>
          <xm:sqref>X92 X728</xm:sqref>
        </x14:dataValidation>
        <x14:dataValidation type="list" allowBlank="1" showInputMessage="1" showErrorMessage="1" xr:uid="{89EF7D1B-D40B-41E0-AC05-647264DEC157}">
          <x14:formula1>
            <xm:f>Formatos!$A:$A</xm:f>
          </x14:formula1>
          <xm:sqref>X93 B499 B155:B156 X107 X608 X639 X601 B524 X18 X88 X84 X76 X67 X99 B130:B131 M339:M343 B229:B230 X593 O421:O423 R339:R343 X729 B1135 B791:B792 X743 X1244 X1275 X1237 B1160 X654 X724 X720 X712 X703 X735 B766:B767 M975:M979 B865:B866 X1229 O1057:O1059 R975:R979</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13"/>
  <dimension ref="A1:AV4"/>
  <sheetViews>
    <sheetView showGridLines="0" workbookViewId="0">
      <selection activeCell="AK3" sqref="AK3:AL1048576"/>
    </sheetView>
  </sheetViews>
  <sheetFormatPr defaultColWidth="11.44140625" defaultRowHeight="18.75" customHeight="1"/>
  <cols>
    <col min="1" max="1" width="4.6640625" style="11" customWidth="1"/>
    <col min="2" max="4" width="5.6640625" style="11" customWidth="1"/>
    <col min="5" max="5" width="11.6640625" style="11" customWidth="1"/>
    <col min="6" max="6" width="4.6640625" style="11" customWidth="1"/>
    <col min="7" max="7" width="3.6640625" style="11" customWidth="1"/>
    <col min="8" max="8" width="4.6640625" style="11" customWidth="1"/>
    <col min="9" max="9" width="4" style="11" customWidth="1"/>
    <col min="10" max="10" width="15.5546875" style="11" customWidth="1"/>
    <col min="11" max="13" width="5.6640625" style="11" customWidth="1"/>
    <col min="14" max="15" width="12.6640625" style="11" customWidth="1"/>
    <col min="16" max="16" width="4.33203125" style="11" customWidth="1"/>
    <col min="17" max="17" width="3.6640625" style="11" customWidth="1"/>
    <col min="18" max="18" width="8.109375" style="11" customWidth="1"/>
    <col min="19" max="19" width="7.6640625" style="11" customWidth="1"/>
    <col min="20" max="21" width="7.6640625" style="11" hidden="1" customWidth="1"/>
    <col min="22" max="22" width="11" style="11" hidden="1" customWidth="1"/>
    <col min="23" max="23" width="7.6640625" style="11" customWidth="1"/>
    <col min="24" max="28" width="7.6640625" style="11" hidden="1" customWidth="1"/>
    <col min="29" max="33" width="2.6640625" style="11" hidden="1" customWidth="1"/>
    <col min="34" max="34" width="9.6640625" style="11" customWidth="1"/>
    <col min="35" max="35" width="33.6640625" style="11" bestFit="1" customWidth="1"/>
    <col min="36" max="36" width="1" style="11" customWidth="1"/>
    <col min="37" max="37" width="38.44140625" style="959" customWidth="1"/>
    <col min="38" max="38" width="22.33203125" style="959" customWidth="1"/>
    <col min="39" max="16384" width="11.44140625" style="11"/>
  </cols>
  <sheetData>
    <row r="1" spans="1:48" ht="18.75" customHeight="1" thickBot="1">
      <c r="A1" s="799" t="s">
        <v>28</v>
      </c>
      <c r="B1" s="800"/>
      <c r="C1" s="800"/>
      <c r="D1" s="800"/>
      <c r="E1" s="800"/>
      <c r="F1" s="800"/>
      <c r="G1" s="800"/>
      <c r="H1" s="800"/>
      <c r="I1" s="800"/>
      <c r="J1" s="800"/>
      <c r="K1" s="801"/>
      <c r="L1" s="801"/>
      <c r="M1" s="801"/>
      <c r="N1" s="801"/>
      <c r="O1" s="801"/>
      <c r="P1" s="801"/>
      <c r="Q1" s="802"/>
      <c r="R1" s="18"/>
      <c r="S1" s="18"/>
      <c r="T1" s="18"/>
      <c r="U1" s="18"/>
      <c r="V1" s="18"/>
      <c r="W1" s="18"/>
      <c r="AK1" s="11"/>
      <c r="AL1" s="11"/>
    </row>
    <row r="2" spans="1:48" s="12" customFormat="1" ht="27" customHeight="1">
      <c r="A2" s="55" t="s">
        <v>96</v>
      </c>
      <c r="B2" s="56" t="s">
        <v>97</v>
      </c>
      <c r="C2" s="57"/>
      <c r="D2" s="57"/>
      <c r="E2" s="57"/>
      <c r="F2" s="803" t="s">
        <v>0</v>
      </c>
      <c r="G2" s="804"/>
      <c r="H2" s="804"/>
      <c r="I2" s="804"/>
      <c r="J2" s="805"/>
      <c r="K2" s="46" t="s">
        <v>103</v>
      </c>
      <c r="L2" s="47" t="s">
        <v>101</v>
      </c>
      <c r="M2" s="47" t="s">
        <v>100</v>
      </c>
      <c r="N2" s="48"/>
      <c r="O2" s="48"/>
      <c r="P2" s="49" t="s">
        <v>98</v>
      </c>
      <c r="Q2" s="50" t="s">
        <v>99</v>
      </c>
      <c r="S2" s="51" t="s">
        <v>95</v>
      </c>
      <c r="W2" s="52" t="s">
        <v>102</v>
      </c>
      <c r="AH2" s="53" t="s">
        <v>110</v>
      </c>
      <c r="AI2" s="54" t="s">
        <v>66</v>
      </c>
      <c r="AK2" s="806" t="s">
        <v>421</v>
      </c>
      <c r="AL2" s="806"/>
    </row>
    <row r="3" spans="1:48" s="12" customFormat="1" ht="18.75" customHeight="1">
      <c r="A3" s="951" t="str">
        <f>AI3</f>
        <v>REGIÃO DO EQUIPAMENTO</v>
      </c>
      <c r="B3" s="110"/>
      <c r="C3" s="111"/>
      <c r="D3" s="111"/>
      <c r="E3" s="111"/>
      <c r="F3" s="110"/>
      <c r="G3" s="111"/>
      <c r="H3" s="111"/>
      <c r="I3" s="111"/>
      <c r="J3" s="112"/>
      <c r="K3" s="963"/>
      <c r="L3" s="963"/>
      <c r="M3" s="963"/>
      <c r="N3" s="964"/>
      <c r="O3" s="964"/>
      <c r="P3" s="951"/>
      <c r="Q3" s="950"/>
      <c r="R3" s="965"/>
      <c r="S3" s="966"/>
      <c r="T3" s="964"/>
      <c r="U3" s="967"/>
      <c r="V3" s="967"/>
      <c r="W3" s="963"/>
      <c r="X3" s="963"/>
      <c r="Y3" s="963"/>
      <c r="Z3" s="963"/>
      <c r="AA3" s="963"/>
      <c r="AB3" s="963"/>
      <c r="AC3" s="968"/>
      <c r="AD3" s="968"/>
      <c r="AE3" s="968"/>
      <c r="AF3" s="968"/>
      <c r="AG3" s="968"/>
      <c r="AH3" s="969"/>
      <c r="AI3" s="963" t="str">
        <f>IF('Memória TOTAL'!Y3="","",'Memória TOTAL'!Y3)</f>
        <v>REGIÃO DO EQUIPAMENTO</v>
      </c>
      <c r="AK3" s="957" t="s">
        <v>2406</v>
      </c>
      <c r="AL3" s="958"/>
      <c r="AV3" s="12" t="s">
        <v>426</v>
      </c>
    </row>
    <row r="4" spans="1:48" ht="18.75" customHeight="1">
      <c r="A4" s="951"/>
      <c r="B4" s="959"/>
      <c r="C4" s="959"/>
      <c r="K4" s="950"/>
      <c r="L4" s="950"/>
      <c r="M4" s="950"/>
      <c r="N4" s="951"/>
      <c r="O4" s="951"/>
      <c r="P4" s="950"/>
      <c r="Q4" s="950"/>
      <c r="R4" s="950"/>
      <c r="S4" s="950"/>
      <c r="T4" s="950"/>
      <c r="U4" s="950"/>
      <c r="V4" s="950"/>
      <c r="W4" s="950"/>
      <c r="X4" s="950"/>
      <c r="Y4" s="950"/>
      <c r="Z4" s="950"/>
      <c r="AA4" s="950"/>
      <c r="AB4" s="950"/>
      <c r="AC4" s="950"/>
      <c r="AD4" s="950"/>
      <c r="AE4" s="950"/>
      <c r="AF4" s="950"/>
      <c r="AG4" s="950"/>
      <c r="AH4" s="950"/>
      <c r="AI4" s="950"/>
    </row>
  </sheetData>
  <sortState xmlns:xlrd2="http://schemas.microsoft.com/office/spreadsheetml/2017/richdata2" ref="A3:AI4">
    <sortCondition ref="A4"/>
    <sortCondition ref="B4"/>
    <sortCondition ref="F4"/>
  </sortState>
  <mergeCells count="4">
    <mergeCell ref="A1:Q1"/>
    <mergeCell ref="F2:J2"/>
    <mergeCell ref="AK2:AL2"/>
    <mergeCell ref="AK3:AL3"/>
  </mergeCells>
  <phoneticPr fontId="44" type="noConversion"/>
  <conditionalFormatting sqref="A3">
    <cfRule type="expression" dxfId="59" priority="21" stopIfTrue="1">
      <formula>AI3&lt;&gt;""</formula>
    </cfRule>
  </conditionalFormatting>
  <conditionalFormatting sqref="B3">
    <cfRule type="expression" dxfId="58" priority="20" stopIfTrue="1">
      <formula>AI3&lt;&gt;""</formula>
    </cfRule>
  </conditionalFormatting>
  <conditionalFormatting sqref="C3">
    <cfRule type="expression" dxfId="57" priority="19" stopIfTrue="1">
      <formula>AI3&lt;&gt;""</formula>
    </cfRule>
  </conditionalFormatting>
  <conditionalFormatting sqref="D3">
    <cfRule type="expression" dxfId="56" priority="18" stopIfTrue="1">
      <formula>AI3&lt;&gt;""</formula>
    </cfRule>
  </conditionalFormatting>
  <conditionalFormatting sqref="E3">
    <cfRule type="expression" dxfId="55" priority="17" stopIfTrue="1">
      <formula>AI3&lt;&gt;""</formula>
    </cfRule>
  </conditionalFormatting>
  <conditionalFormatting sqref="F3">
    <cfRule type="expression" dxfId="54" priority="16" stopIfTrue="1">
      <formula>AI3&lt;&gt;""</formula>
    </cfRule>
  </conditionalFormatting>
  <conditionalFormatting sqref="G3">
    <cfRule type="expression" dxfId="53" priority="15" stopIfTrue="1">
      <formula>AI3&lt;&gt;""</formula>
    </cfRule>
  </conditionalFormatting>
  <conditionalFormatting sqref="H3">
    <cfRule type="expression" dxfId="52" priority="14" stopIfTrue="1">
      <formula>AI3&lt;&gt;""</formula>
    </cfRule>
  </conditionalFormatting>
  <conditionalFormatting sqref="I3">
    <cfRule type="expression" dxfId="51" priority="13" stopIfTrue="1">
      <formula>AI3&lt;&gt;""</formula>
    </cfRule>
  </conditionalFormatting>
  <conditionalFormatting sqref="J3">
    <cfRule type="expression" dxfId="50" priority="12" stopIfTrue="1">
      <formula>AI3&lt;&gt;""</formula>
    </cfRule>
  </conditionalFormatting>
  <conditionalFormatting sqref="K3">
    <cfRule type="expression" dxfId="49" priority="11" stopIfTrue="1">
      <formula>AI3&lt;&gt;""</formula>
    </cfRule>
  </conditionalFormatting>
  <conditionalFormatting sqref="L3">
    <cfRule type="expression" dxfId="48" priority="10" stopIfTrue="1">
      <formula>AI3&lt;&gt;""</formula>
    </cfRule>
  </conditionalFormatting>
  <conditionalFormatting sqref="M3">
    <cfRule type="expression" dxfId="47" priority="9" stopIfTrue="1">
      <formula>AI3&lt;&gt;""</formula>
    </cfRule>
  </conditionalFormatting>
  <conditionalFormatting sqref="N3">
    <cfRule type="containsErrors" dxfId="46" priority="6" stopIfTrue="1">
      <formula>ISERROR(N3)</formula>
    </cfRule>
    <cfRule type="cellIs" dxfId="45" priority="7" stopIfTrue="1" operator="equal">
      <formula>0</formula>
    </cfRule>
    <cfRule type="expression" dxfId="44" priority="8" stopIfTrue="1">
      <formula>AI3&lt;&gt;""</formula>
    </cfRule>
  </conditionalFormatting>
  <conditionalFormatting sqref="O3">
    <cfRule type="containsErrors" dxfId="43" priority="3" stopIfTrue="1">
      <formula>ISERROR(O3)</formula>
    </cfRule>
    <cfRule type="cellIs" dxfId="42" priority="4" stopIfTrue="1" operator="equal">
      <formula>0</formula>
    </cfRule>
    <cfRule type="expression" dxfId="41" priority="5" stopIfTrue="1">
      <formula>AI3&lt;&gt;""</formula>
    </cfRule>
  </conditionalFormatting>
  <conditionalFormatting sqref="P3">
    <cfRule type="expression" dxfId="40" priority="2" stopIfTrue="1">
      <formula>AI3&lt;&gt;""</formula>
    </cfRule>
  </conditionalFormatting>
  <conditionalFormatting sqref="Q3">
    <cfRule type="expression" dxfId="39" priority="1" stopIfTrue="1">
      <formula>AI3&lt;&gt;""</formula>
    </cfRule>
  </conditionalFormatting>
  <printOptions gridLinesSet="0"/>
  <pageMargins left="0.41" right="0.19" top="0.14000000000000001" bottom="0.56000000000000005" header="0.16" footer="0.49212598499999999"/>
  <pageSetup paperSize="9" orientation="portrait" horizontalDpi="300" verticalDpi="300" r:id="rId1"/>
  <headerFooter alignWithMargins="0">
    <oddFooter>&amp;L
&amp;K808080&amp;"Trebuchet MS"CLASSIFICAÇÃO DO DOCUMENTO: INTERNO</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2705" r:id="rId4" name="Button 1">
              <controlPr defaultSize="0" print="0" autoFill="0" autoPict="0" macro="[0]!botao_editar_TOTAL">
                <anchor moveWithCells="1" sizeWithCells="1">
                  <from>
                    <xdr:col>38</xdr:col>
                    <xdr:colOff>30480</xdr:colOff>
                    <xdr:row>0</xdr:row>
                    <xdr:rowOff>213360</xdr:rowOff>
                  </from>
                  <to>
                    <xdr:col>40</xdr:col>
                    <xdr:colOff>441960</xdr:colOff>
                    <xdr:row>2</xdr:row>
                    <xdr:rowOff>137160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9"/>
  <dimension ref="A1:AS22"/>
  <sheetViews>
    <sheetView showGridLines="0" zoomScaleNormal="100" workbookViewId="0">
      <selection activeCell="AH11" sqref="AH11"/>
    </sheetView>
  </sheetViews>
  <sheetFormatPr defaultColWidth="3.6640625" defaultRowHeight="13.2"/>
  <cols>
    <col min="1" max="1" width="4.5546875" customWidth="1"/>
    <col min="29" max="31" width="0" hidden="1" customWidth="1"/>
    <col min="32" max="32" width="14.44140625" style="1" customWidth="1"/>
    <col min="33" max="62" width="14.44140625" customWidth="1"/>
  </cols>
  <sheetData>
    <row r="1" spans="1:45" ht="12.75" customHeight="1">
      <c r="A1" s="849"/>
      <c r="B1" s="850"/>
      <c r="C1" s="850"/>
      <c r="D1" s="850"/>
      <c r="E1" s="850"/>
      <c r="F1" s="850"/>
      <c r="G1" s="850"/>
      <c r="H1" s="851"/>
      <c r="I1" s="824" t="str">
        <f>AG2&amp;" - "&amp;AH2</f>
        <v xml:space="preserve"> - </v>
      </c>
      <c r="J1" s="825"/>
      <c r="K1" s="825"/>
      <c r="L1" s="825"/>
      <c r="M1" s="825"/>
      <c r="N1" s="825"/>
      <c r="O1" s="825"/>
      <c r="P1" s="825"/>
      <c r="Q1" s="825"/>
      <c r="R1" s="825"/>
      <c r="S1" s="825"/>
      <c r="T1" s="825"/>
      <c r="U1" s="825"/>
      <c r="V1" s="825"/>
      <c r="W1" s="825"/>
      <c r="X1" s="825"/>
      <c r="Y1" s="825"/>
      <c r="Z1" s="825"/>
      <c r="AA1" s="826"/>
      <c r="AF1" s="126" t="s">
        <v>670</v>
      </c>
      <c r="AG1" s="126" t="s">
        <v>680</v>
      </c>
      <c r="AH1" s="126" t="s">
        <v>681</v>
      </c>
      <c r="AI1" s="295" t="s">
        <v>1013</v>
      </c>
      <c r="AJ1" s="126" t="s">
        <v>682</v>
      </c>
    </row>
    <row r="2" spans="1:45" ht="12.75" customHeight="1">
      <c r="A2" s="852"/>
      <c r="B2" s="853"/>
      <c r="C2" s="853"/>
      <c r="D2" s="853"/>
      <c r="E2" s="853"/>
      <c r="F2" s="853"/>
      <c r="G2" s="853"/>
      <c r="H2" s="854"/>
      <c r="I2" s="827"/>
      <c r="J2" s="828"/>
      <c r="K2" s="828"/>
      <c r="L2" s="828"/>
      <c r="M2" s="828"/>
      <c r="N2" s="828"/>
      <c r="O2" s="828"/>
      <c r="P2" s="828"/>
      <c r="Q2" s="828"/>
      <c r="R2" s="828"/>
      <c r="S2" s="828"/>
      <c r="T2" s="828"/>
      <c r="U2" s="828"/>
      <c r="V2" s="828"/>
      <c r="W2" s="828"/>
      <c r="X2" s="828"/>
      <c r="Y2" s="828"/>
      <c r="Z2" s="828"/>
      <c r="AA2" s="829"/>
      <c r="AF2" s="123"/>
      <c r="AG2" s="295"/>
      <c r="AH2" s="295"/>
      <c r="AI2" s="295"/>
      <c r="AJ2" s="295"/>
    </row>
    <row r="3" spans="1:45" ht="12.75" customHeight="1">
      <c r="A3" s="852"/>
      <c r="B3" s="853"/>
      <c r="C3" s="853"/>
      <c r="D3" s="853"/>
      <c r="E3" s="853"/>
      <c r="F3" s="853"/>
      <c r="G3" s="853"/>
      <c r="H3" s="854"/>
      <c r="I3" s="824" t="str">
        <f>AI2&amp;" - "&amp;AJ2&amp;""</f>
        <v xml:space="preserve"> - </v>
      </c>
      <c r="J3" s="841"/>
      <c r="K3" s="841"/>
      <c r="L3" s="841"/>
      <c r="M3" s="841"/>
      <c r="N3" s="841"/>
      <c r="O3" s="841"/>
      <c r="P3" s="841"/>
      <c r="Q3" s="841"/>
      <c r="R3" s="841"/>
      <c r="S3" s="841"/>
      <c r="T3" s="841"/>
      <c r="U3" s="841"/>
      <c r="V3" s="841"/>
      <c r="W3" s="841"/>
      <c r="X3" s="841"/>
      <c r="Y3" s="841"/>
      <c r="Z3" s="841"/>
      <c r="AA3" s="842"/>
      <c r="AF3" s="271"/>
      <c r="AS3" s="58"/>
    </row>
    <row r="4" spans="1:45" ht="12.75" customHeight="1">
      <c r="A4" s="852"/>
      <c r="B4" s="853"/>
      <c r="C4" s="853"/>
      <c r="D4" s="853"/>
      <c r="E4" s="853"/>
      <c r="F4" s="853"/>
      <c r="G4" s="853"/>
      <c r="H4" s="854"/>
      <c r="I4" s="843"/>
      <c r="J4" s="844"/>
      <c r="K4" s="844"/>
      <c r="L4" s="844"/>
      <c r="M4" s="844"/>
      <c r="N4" s="844"/>
      <c r="O4" s="844"/>
      <c r="P4" s="844"/>
      <c r="Q4" s="844"/>
      <c r="R4" s="844"/>
      <c r="S4" s="844"/>
      <c r="T4" s="844"/>
      <c r="U4" s="844"/>
      <c r="V4" s="844"/>
      <c r="W4" s="844"/>
      <c r="X4" s="844"/>
      <c r="Y4" s="844"/>
      <c r="Z4" s="844"/>
      <c r="AA4" s="845"/>
      <c r="AR4" s="58"/>
    </row>
    <row r="5" spans="1:45" ht="5.0999999999999996" customHeight="1">
      <c r="A5" s="852"/>
      <c r="B5" s="853"/>
      <c r="C5" s="853"/>
      <c r="D5" s="853"/>
      <c r="E5" s="853"/>
      <c r="F5" s="853"/>
      <c r="G5" s="853"/>
      <c r="H5" s="854"/>
      <c r="I5" s="846"/>
      <c r="J5" s="847"/>
      <c r="K5" s="847"/>
      <c r="L5" s="847"/>
      <c r="M5" s="847"/>
      <c r="N5" s="847"/>
      <c r="O5" s="847"/>
      <c r="P5" s="847"/>
      <c r="Q5" s="847"/>
      <c r="R5" s="847"/>
      <c r="S5" s="847"/>
      <c r="T5" s="847"/>
      <c r="U5" s="847"/>
      <c r="V5" s="847"/>
      <c r="W5" s="847"/>
      <c r="X5" s="847"/>
      <c r="Y5" s="847"/>
      <c r="Z5" s="847"/>
      <c r="AA5" s="848"/>
    </row>
    <row r="6" spans="1:45" ht="16.5" customHeight="1">
      <c r="A6" s="852"/>
      <c r="B6" s="853"/>
      <c r="C6" s="853"/>
      <c r="D6" s="853"/>
      <c r="E6" s="853"/>
      <c r="F6" s="853"/>
      <c r="G6" s="853"/>
      <c r="H6" s="854"/>
      <c r="I6" s="833" t="s">
        <v>667</v>
      </c>
      <c r="J6" s="834"/>
      <c r="K6" s="834"/>
      <c r="L6" s="834"/>
      <c r="M6" s="834"/>
      <c r="N6" s="834"/>
      <c r="O6" s="834"/>
      <c r="P6" s="834"/>
      <c r="Q6" s="834"/>
      <c r="R6" s="834"/>
      <c r="S6" s="834"/>
      <c r="T6" s="834"/>
      <c r="U6" s="835"/>
      <c r="V6" s="858" t="s">
        <v>668</v>
      </c>
      <c r="W6" s="858"/>
      <c r="X6" s="859"/>
      <c r="Y6" s="833" t="s">
        <v>669</v>
      </c>
      <c r="Z6" s="834"/>
      <c r="AA6" s="835"/>
    </row>
    <row r="7" spans="1:45" ht="16.5" customHeight="1">
      <c r="A7" s="855"/>
      <c r="B7" s="856"/>
      <c r="C7" s="856"/>
      <c r="D7" s="856"/>
      <c r="E7" s="856"/>
      <c r="F7" s="856"/>
      <c r="G7" s="856"/>
      <c r="H7" s="857"/>
      <c r="I7" s="830" t="str">
        <f>"CS"&amp;AF2</f>
        <v>CS</v>
      </c>
      <c r="J7" s="831"/>
      <c r="K7" s="831"/>
      <c r="L7" s="831"/>
      <c r="M7" s="831"/>
      <c r="N7" s="831"/>
      <c r="O7" s="831"/>
      <c r="P7" s="831"/>
      <c r="Q7" s="831"/>
      <c r="R7" s="831"/>
      <c r="S7" s="831"/>
      <c r="T7" s="831"/>
      <c r="U7" s="832"/>
      <c r="V7" s="839" t="s">
        <v>679</v>
      </c>
      <c r="W7" s="840"/>
      <c r="X7" s="840"/>
      <c r="Y7" s="836" t="s">
        <v>1890</v>
      </c>
      <c r="Z7" s="837"/>
      <c r="AA7" s="838"/>
    </row>
    <row r="8" spans="1:45" ht="5.0999999999999996" customHeight="1">
      <c r="A8" s="811"/>
      <c r="B8" s="811"/>
      <c r="C8" s="811"/>
      <c r="D8" s="811"/>
      <c r="E8" s="811"/>
      <c r="F8" s="811"/>
      <c r="G8" s="811"/>
      <c r="H8" s="811"/>
      <c r="I8" s="811"/>
      <c r="J8" s="811"/>
      <c r="K8" s="811"/>
      <c r="L8" s="811"/>
      <c r="M8" s="811"/>
      <c r="N8" s="811"/>
      <c r="O8" s="811"/>
      <c r="P8" s="811"/>
      <c r="Q8" s="811"/>
      <c r="R8" s="811"/>
      <c r="S8" s="811"/>
      <c r="T8" s="811"/>
      <c r="U8" s="811"/>
      <c r="V8" s="811"/>
      <c r="W8" s="811"/>
      <c r="X8" s="811"/>
      <c r="Y8" s="811"/>
      <c r="Z8" s="811"/>
      <c r="AA8" s="811"/>
    </row>
    <row r="9" spans="1:45" ht="15.6">
      <c r="A9" s="6" t="s">
        <v>23</v>
      </c>
      <c r="B9" s="860" t="s">
        <v>501</v>
      </c>
      <c r="C9" s="861"/>
      <c r="D9" s="862"/>
      <c r="E9" s="822" t="s">
        <v>502</v>
      </c>
      <c r="F9" s="822"/>
      <c r="G9" s="822"/>
      <c r="H9" s="823" t="s">
        <v>666</v>
      </c>
      <c r="I9" s="823"/>
      <c r="J9" s="823" t="s">
        <v>500</v>
      </c>
      <c r="K9" s="823"/>
      <c r="L9" s="823"/>
      <c r="M9" s="823"/>
      <c r="N9" s="823"/>
      <c r="O9" s="823"/>
      <c r="P9" s="823"/>
      <c r="Q9" s="823"/>
      <c r="R9" s="823"/>
      <c r="S9" s="823"/>
      <c r="T9" s="823"/>
      <c r="U9" s="823"/>
      <c r="V9" s="823"/>
      <c r="W9" s="823"/>
      <c r="X9" s="823"/>
      <c r="Y9" s="823"/>
      <c r="Z9" s="823"/>
      <c r="AA9" s="823"/>
    </row>
    <row r="10" spans="1:45" ht="25.5" customHeight="1">
      <c r="A10" s="7"/>
      <c r="B10" s="814"/>
      <c r="C10" s="815"/>
      <c r="D10" s="815"/>
      <c r="E10" s="817"/>
      <c r="F10" s="818"/>
      <c r="G10" s="819"/>
      <c r="H10" s="820"/>
      <c r="I10" s="821"/>
      <c r="J10" s="816"/>
      <c r="K10" s="813"/>
      <c r="L10" s="813"/>
      <c r="M10" s="813"/>
      <c r="N10" s="813"/>
      <c r="O10" s="813"/>
      <c r="P10" s="813"/>
      <c r="Q10" s="813"/>
      <c r="R10" s="813"/>
      <c r="S10" s="813"/>
      <c r="T10" s="813"/>
      <c r="U10" s="813"/>
      <c r="V10" s="813"/>
      <c r="W10" s="813"/>
      <c r="X10" s="813"/>
      <c r="Y10" s="813"/>
      <c r="Z10" s="813"/>
      <c r="AA10" s="813"/>
    </row>
    <row r="11" spans="1:45" ht="25.5" customHeight="1">
      <c r="A11" s="7"/>
      <c r="B11" s="807"/>
      <c r="C11" s="808"/>
      <c r="D11" s="809"/>
      <c r="E11" s="810"/>
      <c r="F11" s="811"/>
      <c r="G11" s="812"/>
      <c r="H11" s="813"/>
      <c r="I11" s="813"/>
      <c r="J11" s="813"/>
      <c r="K11" s="813"/>
      <c r="L11" s="813"/>
      <c r="M11" s="813"/>
      <c r="N11" s="813"/>
      <c r="O11" s="813"/>
      <c r="P11" s="813"/>
      <c r="Q11" s="813"/>
      <c r="R11" s="813"/>
      <c r="S11" s="813"/>
      <c r="T11" s="813"/>
      <c r="U11" s="813"/>
      <c r="V11" s="813"/>
      <c r="W11" s="813"/>
      <c r="X11" s="813"/>
      <c r="Y11" s="813"/>
      <c r="Z11" s="813"/>
      <c r="AA11" s="813"/>
    </row>
    <row r="12" spans="1:45" ht="25.5" customHeight="1">
      <c r="A12" s="7"/>
      <c r="B12" s="807"/>
      <c r="C12" s="808"/>
      <c r="D12" s="809"/>
      <c r="E12" s="810"/>
      <c r="F12" s="811"/>
      <c r="G12" s="812"/>
      <c r="H12" s="813"/>
      <c r="I12" s="813"/>
      <c r="J12" s="813"/>
      <c r="K12" s="813"/>
      <c r="L12" s="813"/>
      <c r="M12" s="813"/>
      <c r="N12" s="813"/>
      <c r="O12" s="813"/>
      <c r="P12" s="813"/>
      <c r="Q12" s="813"/>
      <c r="R12" s="813"/>
      <c r="S12" s="813"/>
      <c r="T12" s="813"/>
      <c r="U12" s="813"/>
      <c r="V12" s="813"/>
      <c r="W12" s="813"/>
      <c r="X12" s="813"/>
      <c r="Y12" s="813"/>
      <c r="Z12" s="813"/>
      <c r="AA12" s="813"/>
    </row>
    <row r="13" spans="1:45" ht="25.5" customHeight="1">
      <c r="A13" s="7"/>
      <c r="B13" s="807"/>
      <c r="C13" s="808"/>
      <c r="D13" s="809"/>
      <c r="E13" s="810"/>
      <c r="F13" s="811"/>
      <c r="G13" s="812"/>
      <c r="H13" s="813"/>
      <c r="I13" s="813"/>
      <c r="J13" s="813"/>
      <c r="K13" s="813"/>
      <c r="L13" s="813"/>
      <c r="M13" s="813"/>
      <c r="N13" s="813"/>
      <c r="O13" s="813"/>
      <c r="P13" s="813"/>
      <c r="Q13" s="813"/>
      <c r="R13" s="813"/>
      <c r="S13" s="813"/>
      <c r="T13" s="813"/>
      <c r="U13" s="813"/>
      <c r="V13" s="813"/>
      <c r="W13" s="813"/>
      <c r="X13" s="813"/>
      <c r="Y13" s="813"/>
      <c r="Z13" s="813"/>
      <c r="AA13" s="813"/>
    </row>
    <row r="14" spans="1:45" ht="25.5" customHeight="1">
      <c r="A14" s="7"/>
      <c r="B14" s="807"/>
      <c r="C14" s="808"/>
      <c r="D14" s="809"/>
      <c r="E14" s="810"/>
      <c r="F14" s="811"/>
      <c r="G14" s="812"/>
      <c r="H14" s="813"/>
      <c r="I14" s="813"/>
      <c r="J14" s="813"/>
      <c r="K14" s="813"/>
      <c r="L14" s="813"/>
      <c r="M14" s="813"/>
      <c r="N14" s="813"/>
      <c r="O14" s="813"/>
      <c r="P14" s="813"/>
      <c r="Q14" s="813"/>
      <c r="R14" s="813"/>
      <c r="S14" s="813"/>
      <c r="T14" s="813"/>
      <c r="U14" s="813"/>
      <c r="V14" s="813"/>
      <c r="W14" s="813"/>
      <c r="X14" s="813"/>
      <c r="Y14" s="813"/>
      <c r="Z14" s="813"/>
      <c r="AA14" s="813"/>
    </row>
    <row r="15" spans="1:45" ht="25.5" customHeight="1">
      <c r="A15" s="7"/>
      <c r="B15" s="807"/>
      <c r="C15" s="808"/>
      <c r="D15" s="809"/>
      <c r="E15" s="810"/>
      <c r="F15" s="811"/>
      <c r="G15" s="812"/>
      <c r="H15" s="813"/>
      <c r="I15" s="813"/>
      <c r="J15" s="813"/>
      <c r="K15" s="813"/>
      <c r="L15" s="813"/>
      <c r="M15" s="813"/>
      <c r="N15" s="813"/>
      <c r="O15" s="813"/>
      <c r="P15" s="813"/>
      <c r="Q15" s="813"/>
      <c r="R15" s="813"/>
      <c r="S15" s="813"/>
      <c r="T15" s="813"/>
      <c r="U15" s="813"/>
      <c r="V15" s="813"/>
      <c r="W15" s="813"/>
      <c r="X15" s="813"/>
      <c r="Y15" s="813"/>
      <c r="Z15" s="813"/>
      <c r="AA15" s="813"/>
    </row>
    <row r="16" spans="1:45" ht="25.5" customHeight="1">
      <c r="A16" s="7"/>
      <c r="B16" s="807"/>
      <c r="C16" s="808"/>
      <c r="D16" s="809"/>
      <c r="E16" s="810"/>
      <c r="F16" s="811"/>
      <c r="G16" s="812"/>
      <c r="H16" s="813"/>
      <c r="I16" s="813"/>
      <c r="J16" s="813"/>
      <c r="K16" s="813"/>
      <c r="L16" s="813"/>
      <c r="M16" s="813"/>
      <c r="N16" s="813"/>
      <c r="O16" s="813"/>
      <c r="P16" s="813"/>
      <c r="Q16" s="813"/>
      <c r="R16" s="813"/>
      <c r="S16" s="813"/>
      <c r="T16" s="813"/>
      <c r="U16" s="813"/>
      <c r="V16" s="813"/>
      <c r="W16" s="813"/>
      <c r="X16" s="813"/>
      <c r="Y16" s="813"/>
      <c r="Z16" s="813"/>
      <c r="AA16" s="813"/>
    </row>
    <row r="17" spans="1:27" ht="25.5" customHeight="1">
      <c r="A17" s="7"/>
      <c r="B17" s="807"/>
      <c r="C17" s="808"/>
      <c r="D17" s="809"/>
      <c r="E17" s="810"/>
      <c r="F17" s="811"/>
      <c r="G17" s="812"/>
      <c r="H17" s="813"/>
      <c r="I17" s="813"/>
      <c r="J17" s="813"/>
      <c r="K17" s="813"/>
      <c r="L17" s="813"/>
      <c r="M17" s="813"/>
      <c r="N17" s="813"/>
      <c r="O17" s="813"/>
      <c r="P17" s="813"/>
      <c r="Q17" s="813"/>
      <c r="R17" s="813"/>
      <c r="S17" s="813"/>
      <c r="T17" s="813"/>
      <c r="U17" s="813"/>
      <c r="V17" s="813"/>
      <c r="W17" s="813"/>
      <c r="X17" s="813"/>
      <c r="Y17" s="813"/>
      <c r="Z17" s="813"/>
      <c r="AA17" s="813"/>
    </row>
    <row r="18" spans="1:27" ht="25.5" customHeight="1">
      <c r="A18" s="7"/>
      <c r="B18" s="807"/>
      <c r="C18" s="808"/>
      <c r="D18" s="809"/>
      <c r="E18" s="810"/>
      <c r="F18" s="811"/>
      <c r="G18" s="812"/>
      <c r="H18" s="813"/>
      <c r="I18" s="813"/>
      <c r="J18" s="813"/>
      <c r="K18" s="813"/>
      <c r="L18" s="813"/>
      <c r="M18" s="813"/>
      <c r="N18" s="813"/>
      <c r="O18" s="813"/>
      <c r="P18" s="813"/>
      <c r="Q18" s="813"/>
      <c r="R18" s="813"/>
      <c r="S18" s="813"/>
      <c r="T18" s="813"/>
      <c r="U18" s="813"/>
      <c r="V18" s="813"/>
      <c r="W18" s="813"/>
      <c r="X18" s="813"/>
      <c r="Y18" s="813"/>
      <c r="Z18" s="813"/>
      <c r="AA18" s="813"/>
    </row>
    <row r="19" spans="1:27" ht="25.5" customHeight="1">
      <c r="A19" s="7"/>
      <c r="B19" s="807"/>
      <c r="C19" s="808"/>
      <c r="D19" s="809"/>
      <c r="E19" s="810"/>
      <c r="F19" s="811"/>
      <c r="G19" s="812"/>
      <c r="H19" s="813"/>
      <c r="I19" s="813"/>
      <c r="J19" s="813"/>
      <c r="K19" s="813"/>
      <c r="L19" s="813"/>
      <c r="M19" s="813"/>
      <c r="N19" s="813"/>
      <c r="O19" s="813"/>
      <c r="P19" s="813"/>
      <c r="Q19" s="813"/>
      <c r="R19" s="813"/>
      <c r="S19" s="813"/>
      <c r="T19" s="813"/>
      <c r="U19" s="813"/>
      <c r="V19" s="813"/>
      <c r="W19" s="813"/>
      <c r="X19" s="813"/>
      <c r="Y19" s="813"/>
      <c r="Z19" s="813"/>
      <c r="AA19" s="813"/>
    </row>
    <row r="20" spans="1:27" ht="25.5" customHeight="1">
      <c r="A20" s="7"/>
      <c r="B20" s="807"/>
      <c r="C20" s="808"/>
      <c r="D20" s="809"/>
      <c r="E20" s="810"/>
      <c r="F20" s="811"/>
      <c r="G20" s="812"/>
      <c r="H20" s="813"/>
      <c r="I20" s="813"/>
      <c r="J20" s="813"/>
      <c r="K20" s="813"/>
      <c r="L20" s="813"/>
      <c r="M20" s="813"/>
      <c r="N20" s="813"/>
      <c r="O20" s="813"/>
      <c r="P20" s="813"/>
      <c r="Q20" s="813"/>
      <c r="R20" s="813"/>
      <c r="S20" s="813"/>
      <c r="T20" s="813"/>
      <c r="U20" s="813"/>
      <c r="V20" s="813"/>
      <c r="W20" s="813"/>
      <c r="X20" s="813"/>
      <c r="Y20" s="813"/>
      <c r="Z20" s="813"/>
      <c r="AA20" s="813"/>
    </row>
    <row r="21" spans="1:27" ht="25.5" customHeight="1">
      <c r="A21" s="7"/>
      <c r="B21" s="807"/>
      <c r="C21" s="808"/>
      <c r="D21" s="809"/>
      <c r="E21" s="810"/>
      <c r="F21" s="811"/>
      <c r="G21" s="812"/>
      <c r="H21" s="813"/>
      <c r="I21" s="813"/>
      <c r="J21" s="813"/>
      <c r="K21" s="813"/>
      <c r="L21" s="813"/>
      <c r="M21" s="813"/>
      <c r="N21" s="813"/>
      <c r="O21" s="813"/>
      <c r="P21" s="813"/>
      <c r="Q21" s="813"/>
      <c r="R21" s="813"/>
      <c r="S21" s="813"/>
      <c r="T21" s="813"/>
      <c r="U21" s="813"/>
      <c r="V21" s="813"/>
      <c r="W21" s="813"/>
      <c r="X21" s="813"/>
      <c r="Y21" s="813"/>
      <c r="Z21" s="813"/>
      <c r="AA21" s="813"/>
    </row>
    <row r="22" spans="1:27" ht="25.5" customHeight="1">
      <c r="A22" s="7"/>
      <c r="B22" s="807"/>
      <c r="C22" s="808"/>
      <c r="D22" s="809"/>
      <c r="E22" s="810"/>
      <c r="F22" s="811"/>
      <c r="G22" s="812"/>
      <c r="H22" s="813"/>
      <c r="I22" s="813"/>
      <c r="J22" s="813"/>
      <c r="K22" s="813"/>
      <c r="L22" s="813"/>
      <c r="M22" s="813"/>
      <c r="N22" s="813"/>
      <c r="O22" s="813"/>
      <c r="P22" s="813"/>
      <c r="Q22" s="813"/>
      <c r="R22" s="813"/>
      <c r="S22" s="813"/>
      <c r="T22" s="813"/>
      <c r="U22" s="813"/>
      <c r="V22" s="813"/>
      <c r="W22" s="813"/>
      <c r="X22" s="813"/>
      <c r="Y22" s="813"/>
      <c r="Z22" s="813"/>
      <c r="AA22" s="813"/>
    </row>
  </sheetData>
  <mergeCells count="66">
    <mergeCell ref="E9:G9"/>
    <mergeCell ref="J9:AA9"/>
    <mergeCell ref="I1:AA2"/>
    <mergeCell ref="I7:U7"/>
    <mergeCell ref="H9:I9"/>
    <mergeCell ref="Y6:AA6"/>
    <mergeCell ref="Y7:AA7"/>
    <mergeCell ref="V7:X7"/>
    <mergeCell ref="I3:AA5"/>
    <mergeCell ref="A1:H7"/>
    <mergeCell ref="I6:U6"/>
    <mergeCell ref="V6:X6"/>
    <mergeCell ref="B9:D9"/>
    <mergeCell ref="A8:AA8"/>
    <mergeCell ref="B11:D11"/>
    <mergeCell ref="B10:D10"/>
    <mergeCell ref="B12:D12"/>
    <mergeCell ref="J12:AA12"/>
    <mergeCell ref="E11:G11"/>
    <mergeCell ref="H11:I11"/>
    <mergeCell ref="J11:AA11"/>
    <mergeCell ref="E12:G12"/>
    <mergeCell ref="H12:I12"/>
    <mergeCell ref="J10:AA10"/>
    <mergeCell ref="E10:G10"/>
    <mergeCell ref="H10:I10"/>
    <mergeCell ref="J13:AA13"/>
    <mergeCell ref="B14:D14"/>
    <mergeCell ref="E14:G14"/>
    <mergeCell ref="H14:I14"/>
    <mergeCell ref="J14:AA14"/>
    <mergeCell ref="B13:D13"/>
    <mergeCell ref="E13:G13"/>
    <mergeCell ref="H13:I13"/>
    <mergeCell ref="J17:AA17"/>
    <mergeCell ref="J18:AA18"/>
    <mergeCell ref="H15:I15"/>
    <mergeCell ref="J15:AA15"/>
    <mergeCell ref="E16:G16"/>
    <mergeCell ref="H16:I16"/>
    <mergeCell ref="J16:AA16"/>
    <mergeCell ref="H17:I17"/>
    <mergeCell ref="H18:I18"/>
    <mergeCell ref="J21:AA21"/>
    <mergeCell ref="E22:G22"/>
    <mergeCell ref="H22:I22"/>
    <mergeCell ref="J22:AA22"/>
    <mergeCell ref="E19:G19"/>
    <mergeCell ref="H19:I19"/>
    <mergeCell ref="J19:AA19"/>
    <mergeCell ref="J20:AA20"/>
    <mergeCell ref="H21:I21"/>
    <mergeCell ref="E20:G20"/>
    <mergeCell ref="H20:I20"/>
    <mergeCell ref="B22:D22"/>
    <mergeCell ref="B20:D20"/>
    <mergeCell ref="B19:D19"/>
    <mergeCell ref="B18:D18"/>
    <mergeCell ref="B17:D17"/>
    <mergeCell ref="B16:D16"/>
    <mergeCell ref="B21:D21"/>
    <mergeCell ref="E21:G21"/>
    <mergeCell ref="B15:D15"/>
    <mergeCell ref="E15:G15"/>
    <mergeCell ref="E17:G17"/>
    <mergeCell ref="E18:G18"/>
  </mergeCells>
  <phoneticPr fontId="0" type="noConversion"/>
  <conditionalFormatting sqref="I1 I3">
    <cfRule type="cellIs" dxfId="38" priority="49" stopIfTrue="1" operator="equal">
      <formula>"CLIENTE"</formula>
    </cfRule>
  </conditionalFormatting>
  <conditionalFormatting sqref="I3">
    <cfRule type="cellIs" dxfId="37" priority="48" stopIfTrue="1" operator="equal">
      <formula>"EQUIPAMENTO"</formula>
    </cfRule>
  </conditionalFormatting>
  <conditionalFormatting sqref="E10 H10:I10">
    <cfRule type="cellIs" dxfId="36" priority="43" stopIfTrue="1" operator="equal">
      <formula>"XXXXXX"</formula>
    </cfRule>
  </conditionalFormatting>
  <conditionalFormatting sqref="B10">
    <cfRule type="cellIs" dxfId="35" priority="42" stopIfTrue="1" operator="equal">
      <formula>"XX/XX/20XX"</formula>
    </cfRule>
  </conditionalFormatting>
  <conditionalFormatting sqref="E10">
    <cfRule type="cellIs" dxfId="34" priority="41" stopIfTrue="1" operator="equal">
      <formula>"RP-XX"</formula>
    </cfRule>
  </conditionalFormatting>
  <conditionalFormatting sqref="I3 I1">
    <cfRule type="cellIs" dxfId="33" priority="33" stopIfTrue="1" operator="equal">
      <formula>""</formula>
    </cfRule>
  </conditionalFormatting>
  <conditionalFormatting sqref="I3 V6 I1">
    <cfRule type="cellIs" dxfId="32" priority="24" stopIfTrue="1" operator="equal">
      <formula>"880............."</formula>
    </cfRule>
  </conditionalFormatting>
  <conditionalFormatting sqref="H10">
    <cfRule type="cellIs" dxfId="31" priority="10" stopIfTrue="1" operator="equal">
      <formula>"RP-XX"</formula>
    </cfRule>
  </conditionalFormatting>
  <conditionalFormatting sqref="E10">
    <cfRule type="cellIs" dxfId="30" priority="9" stopIfTrue="1" operator="equal">
      <formula>"CLIENTE"</formula>
    </cfRule>
  </conditionalFormatting>
  <conditionalFormatting sqref="E10">
    <cfRule type="cellIs" dxfId="29" priority="8" stopIfTrue="1" operator="equal">
      <formula>""</formula>
    </cfRule>
  </conditionalFormatting>
  <conditionalFormatting sqref="E10">
    <cfRule type="cellIs" dxfId="28" priority="7" stopIfTrue="1" operator="equal">
      <formula>"880............."</formula>
    </cfRule>
  </conditionalFormatting>
  <conditionalFormatting sqref="H10">
    <cfRule type="cellIs" dxfId="27" priority="6" stopIfTrue="1" operator="equal">
      <formula>"CLIENTE"</formula>
    </cfRule>
  </conditionalFormatting>
  <conditionalFormatting sqref="H10">
    <cfRule type="cellIs" dxfId="26" priority="5" stopIfTrue="1" operator="equal">
      <formula>""</formula>
    </cfRule>
  </conditionalFormatting>
  <conditionalFormatting sqref="H10">
    <cfRule type="cellIs" dxfId="25" priority="4" stopIfTrue="1" operator="equal">
      <formula>"880............."</formula>
    </cfRule>
  </conditionalFormatting>
  <conditionalFormatting sqref="B10">
    <cfRule type="cellIs" dxfId="24" priority="3" stopIfTrue="1" operator="equal">
      <formula>"CLIENTE"</formula>
    </cfRule>
  </conditionalFormatting>
  <conditionalFormatting sqref="B10">
    <cfRule type="cellIs" dxfId="23" priority="2" stopIfTrue="1" operator="equal">
      <formula>""</formula>
    </cfRule>
  </conditionalFormatting>
  <conditionalFormatting sqref="B10">
    <cfRule type="cellIs" dxfId="22" priority="1" stopIfTrue="1" operator="equal">
      <formula>"880............."</formula>
    </cfRule>
  </conditionalFormatting>
  <pageMargins left="0.59055118110236204" right="0.59055118110236204" top="0.78740157480314998" bottom="0.78740157480314998" header="0" footer="0.511811023622047"/>
  <pageSetup paperSize="9" scale="90" orientation="portrait" r:id="rId1"/>
  <headerFooter alignWithMargins="0">
    <oddFooter>&amp;L&amp;D - &amp;T
&amp;K808080&amp;"Trebuchet MS"CLASSIFICAÇÃO DO DOCUMENTO: INTERNO&amp;C&amp;F - &amp;A&amp;RPag.: &amp;P de &amp;N</oddFooter>
  </headerFooter>
  <drawing r:id="rId2"/>
  <legacyDrawingHF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Plan11"/>
  <dimension ref="A1:AR14"/>
  <sheetViews>
    <sheetView showGridLines="0" zoomScaleNormal="100" workbookViewId="0">
      <selection activeCell="AF19" sqref="AF19"/>
    </sheetView>
  </sheetViews>
  <sheetFormatPr defaultColWidth="3.6640625" defaultRowHeight="13.2"/>
  <cols>
    <col min="1" max="1" width="4.5546875" customWidth="1"/>
    <col min="2" max="28" width="3.6640625" customWidth="1"/>
    <col min="29" max="29" width="7.6640625" customWidth="1"/>
  </cols>
  <sheetData>
    <row r="1" spans="1:44" ht="12.75" customHeight="1">
      <c r="A1" s="849"/>
      <c r="B1" s="850"/>
      <c r="C1" s="850"/>
      <c r="D1" s="850"/>
      <c r="E1" s="850"/>
      <c r="F1" s="850"/>
      <c r="G1" s="850"/>
      <c r="H1" s="851"/>
      <c r="I1" s="824" t="str">
        <f>'FRONT SHEET'!I1:AA2</f>
        <v xml:space="preserve"> - </v>
      </c>
      <c r="J1" s="825"/>
      <c r="K1" s="825"/>
      <c r="L1" s="825"/>
      <c r="M1" s="825"/>
      <c r="N1" s="825"/>
      <c r="O1" s="825"/>
      <c r="P1" s="825"/>
      <c r="Q1" s="825"/>
      <c r="R1" s="825"/>
      <c r="S1" s="825"/>
      <c r="T1" s="825"/>
      <c r="U1" s="825"/>
      <c r="V1" s="825"/>
      <c r="W1" s="825"/>
      <c r="X1" s="825"/>
      <c r="Y1" s="825"/>
      <c r="Z1" s="825"/>
      <c r="AA1" s="826"/>
    </row>
    <row r="2" spans="1:44" ht="12.75" customHeight="1">
      <c r="A2" s="852"/>
      <c r="B2" s="853"/>
      <c r="C2" s="853"/>
      <c r="D2" s="853"/>
      <c r="E2" s="853"/>
      <c r="F2" s="853"/>
      <c r="G2" s="853"/>
      <c r="H2" s="854"/>
      <c r="I2" s="827"/>
      <c r="J2" s="828"/>
      <c r="K2" s="828"/>
      <c r="L2" s="828"/>
      <c r="M2" s="828"/>
      <c r="N2" s="828"/>
      <c r="O2" s="828"/>
      <c r="P2" s="828"/>
      <c r="Q2" s="828"/>
      <c r="R2" s="828"/>
      <c r="S2" s="828"/>
      <c r="T2" s="828"/>
      <c r="U2" s="828"/>
      <c r="V2" s="828"/>
      <c r="W2" s="828"/>
      <c r="X2" s="828"/>
      <c r="Y2" s="828"/>
      <c r="Z2" s="828"/>
      <c r="AA2" s="829"/>
    </row>
    <row r="3" spans="1:44" ht="12.75" customHeight="1">
      <c r="A3" s="852"/>
      <c r="B3" s="853"/>
      <c r="C3" s="853"/>
      <c r="D3" s="853"/>
      <c r="E3" s="853"/>
      <c r="F3" s="853"/>
      <c r="G3" s="853"/>
      <c r="H3" s="854"/>
      <c r="I3" s="824" t="str">
        <f>'FRONT SHEET'!I3:AA5</f>
        <v xml:space="preserve"> - </v>
      </c>
      <c r="J3" s="841"/>
      <c r="K3" s="841"/>
      <c r="L3" s="841"/>
      <c r="M3" s="841"/>
      <c r="N3" s="841"/>
      <c r="O3" s="841"/>
      <c r="P3" s="841"/>
      <c r="Q3" s="841"/>
      <c r="R3" s="841"/>
      <c r="S3" s="841"/>
      <c r="T3" s="841"/>
      <c r="U3" s="841"/>
      <c r="V3" s="841"/>
      <c r="W3" s="841"/>
      <c r="X3" s="841"/>
      <c r="Y3" s="841"/>
      <c r="Z3" s="841"/>
      <c r="AA3" s="842"/>
      <c r="AR3" s="58"/>
    </row>
    <row r="4" spans="1:44" ht="12.75" customHeight="1">
      <c r="A4" s="852"/>
      <c r="B4" s="853"/>
      <c r="C4" s="853"/>
      <c r="D4" s="853"/>
      <c r="E4" s="853"/>
      <c r="F4" s="853"/>
      <c r="G4" s="853"/>
      <c r="H4" s="854"/>
      <c r="I4" s="843"/>
      <c r="J4" s="844"/>
      <c r="K4" s="844"/>
      <c r="L4" s="844"/>
      <c r="M4" s="844"/>
      <c r="N4" s="844"/>
      <c r="O4" s="844"/>
      <c r="P4" s="844"/>
      <c r="Q4" s="844"/>
      <c r="R4" s="844"/>
      <c r="S4" s="844"/>
      <c r="T4" s="844"/>
      <c r="U4" s="844"/>
      <c r="V4" s="844"/>
      <c r="W4" s="844"/>
      <c r="X4" s="844"/>
      <c r="Y4" s="844"/>
      <c r="Z4" s="844"/>
      <c r="AA4" s="845"/>
      <c r="AF4" s="1"/>
      <c r="AQ4" s="58"/>
    </row>
    <row r="5" spans="1:44" ht="5.0999999999999996" customHeight="1">
      <c r="A5" s="852"/>
      <c r="B5" s="853"/>
      <c r="C5" s="853"/>
      <c r="D5" s="853"/>
      <c r="E5" s="853"/>
      <c r="F5" s="853"/>
      <c r="G5" s="853"/>
      <c r="H5" s="854"/>
      <c r="I5" s="846"/>
      <c r="J5" s="847"/>
      <c r="K5" s="847"/>
      <c r="L5" s="847"/>
      <c r="M5" s="847"/>
      <c r="N5" s="847"/>
      <c r="O5" s="847"/>
      <c r="P5" s="847"/>
      <c r="Q5" s="847"/>
      <c r="R5" s="847"/>
      <c r="S5" s="847"/>
      <c r="T5" s="847"/>
      <c r="U5" s="847"/>
      <c r="V5" s="847"/>
      <c r="W5" s="847"/>
      <c r="X5" s="847"/>
      <c r="Y5" s="847"/>
      <c r="Z5" s="847"/>
      <c r="AA5" s="848"/>
      <c r="AF5" s="1"/>
    </row>
    <row r="6" spans="1:44" ht="16.5" customHeight="1">
      <c r="A6" s="852"/>
      <c r="B6" s="853"/>
      <c r="C6" s="853"/>
      <c r="D6" s="853"/>
      <c r="E6" s="853"/>
      <c r="F6" s="853"/>
      <c r="G6" s="853"/>
      <c r="H6" s="854"/>
      <c r="I6" s="833" t="str">
        <f>'FRONT SHEET'!I6:U6</f>
        <v>Drawing number</v>
      </c>
      <c r="J6" s="834"/>
      <c r="K6" s="834"/>
      <c r="L6" s="834"/>
      <c r="M6" s="834"/>
      <c r="N6" s="834"/>
      <c r="O6" s="834"/>
      <c r="P6" s="834"/>
      <c r="Q6" s="834"/>
      <c r="R6" s="834"/>
      <c r="S6" s="834"/>
      <c r="T6" s="834"/>
      <c r="U6" s="835"/>
      <c r="V6" s="858" t="str">
        <f>'FRONT SHEET'!V6:X6</f>
        <v>Revision</v>
      </c>
      <c r="W6" s="858"/>
      <c r="X6" s="859"/>
      <c r="Y6" s="833" t="str">
        <f>'FRONT SHEET'!Y6:AA6</f>
        <v>State</v>
      </c>
      <c r="Z6" s="834"/>
      <c r="AA6" s="835"/>
      <c r="AF6" s="1"/>
    </row>
    <row r="7" spans="1:44" ht="16.5" customHeight="1">
      <c r="A7" s="855"/>
      <c r="B7" s="856"/>
      <c r="C7" s="856"/>
      <c r="D7" s="856"/>
      <c r="E7" s="856"/>
      <c r="F7" s="856"/>
      <c r="G7" s="856"/>
      <c r="H7" s="857"/>
      <c r="I7" s="830" t="str">
        <f>'FRONT SHEET'!I7:U7</f>
        <v>CS</v>
      </c>
      <c r="J7" s="831"/>
      <c r="K7" s="831"/>
      <c r="L7" s="831"/>
      <c r="M7" s="831"/>
      <c r="N7" s="831"/>
      <c r="O7" s="831"/>
      <c r="P7" s="831"/>
      <c r="Q7" s="831"/>
      <c r="R7" s="831"/>
      <c r="S7" s="831"/>
      <c r="T7" s="831"/>
      <c r="U7" s="832"/>
      <c r="V7" s="839" t="str">
        <f>'FRONT SHEET'!V7:X7</f>
        <v>A00</v>
      </c>
      <c r="W7" s="840"/>
      <c r="X7" s="840"/>
      <c r="Y7" s="836" t="str">
        <f>'FRONT SHEET'!Y7:AA7</f>
        <v>V</v>
      </c>
      <c r="Z7" s="837"/>
      <c r="AA7" s="838"/>
      <c r="AF7" s="1"/>
    </row>
    <row r="8" spans="1:44" ht="5.0999999999999996" customHeight="1">
      <c r="A8" s="872"/>
      <c r="B8" s="872"/>
      <c r="C8" s="872"/>
      <c r="D8" s="872"/>
      <c r="E8" s="872"/>
      <c r="F8" s="872"/>
      <c r="G8" s="872"/>
      <c r="H8" s="872"/>
      <c r="I8" s="872"/>
      <c r="J8" s="872"/>
      <c r="K8" s="872"/>
      <c r="L8" s="872"/>
      <c r="M8" s="872"/>
      <c r="N8" s="872"/>
      <c r="O8" s="872"/>
      <c r="P8" s="872"/>
      <c r="Q8" s="872"/>
      <c r="R8" s="872"/>
      <c r="S8" s="872"/>
      <c r="T8" s="872"/>
      <c r="U8" s="872"/>
      <c r="V8" s="872"/>
      <c r="W8" s="872"/>
      <c r="X8" s="872"/>
      <c r="Y8" s="872"/>
      <c r="Z8" s="872"/>
      <c r="AA8" s="872"/>
    </row>
    <row r="9" spans="1:44" ht="12.75" customHeight="1">
      <c r="A9" s="869" t="s">
        <v>96</v>
      </c>
      <c r="B9" s="813" t="s">
        <v>503</v>
      </c>
      <c r="C9" s="813"/>
      <c r="D9" s="813"/>
      <c r="E9" s="813"/>
      <c r="F9" s="813"/>
      <c r="G9" s="813" t="s">
        <v>504</v>
      </c>
      <c r="H9" s="813"/>
      <c r="I9" s="813"/>
      <c r="J9" s="813"/>
      <c r="K9" s="813"/>
      <c r="L9" s="813"/>
      <c r="M9" s="813"/>
      <c r="N9" s="875" t="s">
        <v>665</v>
      </c>
      <c r="O9" s="876"/>
      <c r="P9" s="813" t="s">
        <v>505</v>
      </c>
      <c r="Q9" s="813"/>
      <c r="R9" s="813"/>
      <c r="S9" s="813"/>
      <c r="T9" s="813" t="s">
        <v>25</v>
      </c>
      <c r="U9" s="816" t="s">
        <v>664</v>
      </c>
      <c r="V9" s="813"/>
      <c r="W9" s="813"/>
      <c r="X9" s="813"/>
      <c r="Y9" s="813"/>
      <c r="Z9" s="813"/>
      <c r="AA9" s="869" t="s">
        <v>507</v>
      </c>
      <c r="AB9" s="865" t="s">
        <v>10</v>
      </c>
      <c r="AC9" s="866"/>
      <c r="AD9" s="865" t="s">
        <v>101</v>
      </c>
      <c r="AE9" s="871"/>
    </row>
    <row r="10" spans="1:44">
      <c r="A10" s="869"/>
      <c r="B10" s="813"/>
      <c r="C10" s="813"/>
      <c r="D10" s="813"/>
      <c r="E10" s="813"/>
      <c r="F10" s="813"/>
      <c r="G10" s="813"/>
      <c r="H10" s="813"/>
      <c r="I10" s="813"/>
      <c r="J10" s="813"/>
      <c r="K10" s="813"/>
      <c r="L10" s="813"/>
      <c r="M10" s="813"/>
      <c r="N10" s="877"/>
      <c r="O10" s="878"/>
      <c r="P10" s="813" t="s">
        <v>506</v>
      </c>
      <c r="Q10" s="813"/>
      <c r="R10" s="813" t="s">
        <v>27</v>
      </c>
      <c r="S10" s="813"/>
      <c r="T10" s="813"/>
      <c r="U10" s="813" t="s">
        <v>506</v>
      </c>
      <c r="V10" s="813"/>
      <c r="W10" s="813"/>
      <c r="X10" s="813" t="s">
        <v>27</v>
      </c>
      <c r="Y10" s="813"/>
      <c r="Z10" s="813"/>
      <c r="AA10" s="869"/>
      <c r="AB10" s="867" t="s">
        <v>29</v>
      </c>
      <c r="AC10" s="868"/>
      <c r="AD10" s="867" t="s">
        <v>56</v>
      </c>
      <c r="AE10" s="870"/>
    </row>
    <row r="11" spans="1:44" ht="5.0999999999999996" customHeight="1">
      <c r="A11" s="872"/>
      <c r="B11" s="872"/>
      <c r="C11" s="872"/>
      <c r="D11" s="872"/>
      <c r="E11" s="872"/>
      <c r="F11" s="872"/>
      <c r="G11" s="872"/>
      <c r="H11" s="872"/>
      <c r="I11" s="872"/>
      <c r="J11" s="872"/>
      <c r="K11" s="872"/>
      <c r="L11" s="872"/>
      <c r="M11" s="872"/>
      <c r="N11" s="872"/>
      <c r="O11" s="872"/>
      <c r="P11" s="872"/>
      <c r="Q11" s="872"/>
      <c r="R11" s="872"/>
      <c r="S11" s="872"/>
      <c r="T11" s="872"/>
      <c r="U11" s="872"/>
      <c r="V11" s="872"/>
      <c r="W11" s="872"/>
      <c r="X11" s="872"/>
      <c r="Y11" s="872"/>
      <c r="Z11" s="872"/>
      <c r="AA11" s="872"/>
    </row>
    <row r="12" spans="1:44" ht="15.6">
      <c r="A12" s="873" t="s">
        <v>983</v>
      </c>
      <c r="B12" s="874"/>
      <c r="C12" s="874"/>
      <c r="D12" s="874"/>
      <c r="E12" s="874"/>
      <c r="F12" s="34" t="s">
        <v>661</v>
      </c>
      <c r="G12" s="34"/>
      <c r="H12" s="34"/>
      <c r="I12" s="34"/>
      <c r="J12" s="34"/>
      <c r="K12" s="34"/>
      <c r="L12" s="34"/>
      <c r="M12" s="34"/>
      <c r="N12" s="34"/>
      <c r="O12" s="34"/>
      <c r="P12" s="8"/>
      <c r="Q12" s="8"/>
      <c r="R12" s="8"/>
      <c r="S12" s="9"/>
      <c r="T12" s="4"/>
      <c r="U12" s="4"/>
      <c r="V12" s="4"/>
      <c r="W12" s="4"/>
      <c r="X12" s="4"/>
      <c r="Y12" s="4"/>
      <c r="Z12" s="4"/>
      <c r="AA12" s="5"/>
    </row>
    <row r="13" spans="1:44" ht="15.75" customHeight="1">
      <c r="A13" s="952" t="s">
        <v>658</v>
      </c>
      <c r="B13" s="952"/>
      <c r="C13" s="952"/>
      <c r="D13" s="952"/>
      <c r="E13" s="952"/>
      <c r="F13" s="953" t="s">
        <v>2406</v>
      </c>
      <c r="G13" s="953"/>
      <c r="H13" s="953"/>
      <c r="I13" s="953"/>
      <c r="J13" s="953"/>
      <c r="K13" s="953"/>
      <c r="L13" s="953"/>
      <c r="M13" s="953"/>
      <c r="N13" s="953"/>
      <c r="O13" s="953"/>
      <c r="P13" s="953"/>
      <c r="Q13" s="953"/>
      <c r="R13" s="953"/>
      <c r="S13" s="953"/>
      <c r="T13" s="953"/>
      <c r="U13" s="953"/>
      <c r="V13" s="953"/>
      <c r="W13" s="953"/>
      <c r="X13" s="953"/>
      <c r="Y13" s="953"/>
      <c r="Z13" s="953"/>
      <c r="AA13" s="953"/>
    </row>
    <row r="14" spans="1:44">
      <c r="A14" s="954" t="s">
        <v>298</v>
      </c>
      <c r="B14" s="954"/>
      <c r="C14" s="954"/>
      <c r="D14" s="954"/>
      <c r="E14" s="954"/>
      <c r="F14" s="954"/>
      <c r="G14" s="954"/>
      <c r="H14" s="954"/>
      <c r="I14" s="954"/>
      <c r="J14" s="954"/>
      <c r="K14" s="954"/>
      <c r="L14" s="954"/>
      <c r="M14" s="954"/>
      <c r="N14" s="954"/>
      <c r="O14" s="954"/>
      <c r="P14" s="954"/>
      <c r="Q14" s="954"/>
      <c r="R14" s="954"/>
      <c r="S14" s="954"/>
      <c r="T14" s="954"/>
      <c r="U14" s="956">
        <v>0</v>
      </c>
      <c r="V14" s="955"/>
      <c r="W14" s="955"/>
      <c r="X14" s="956">
        <v>0</v>
      </c>
      <c r="Y14" s="955"/>
      <c r="Z14" s="955"/>
    </row>
  </sheetData>
  <mergeCells count="33">
    <mergeCell ref="V7:X7"/>
    <mergeCell ref="Y7:AA7"/>
    <mergeCell ref="A14:T14"/>
    <mergeCell ref="AD10:AE10"/>
    <mergeCell ref="X10:Z10"/>
    <mergeCell ref="P9:S9"/>
    <mergeCell ref="AD9:AE9"/>
    <mergeCell ref="I1:AA2"/>
    <mergeCell ref="A8:AA8"/>
    <mergeCell ref="A9:A10"/>
    <mergeCell ref="B9:F10"/>
    <mergeCell ref="N9:O10"/>
    <mergeCell ref="U10:W10"/>
    <mergeCell ref="A1:H7"/>
    <mergeCell ref="I3:AA5"/>
    <mergeCell ref="I6:U6"/>
    <mergeCell ref="V6:X6"/>
    <mergeCell ref="Y6:AA6"/>
    <mergeCell ref="I7:U7"/>
    <mergeCell ref="A13:E13"/>
    <mergeCell ref="F13:AA13"/>
    <mergeCell ref="G9:M10"/>
    <mergeCell ref="T9:T10"/>
    <mergeCell ref="AB9:AC9"/>
    <mergeCell ref="AB10:AC10"/>
    <mergeCell ref="AA9:AA10"/>
    <mergeCell ref="P10:Q10"/>
    <mergeCell ref="R10:S10"/>
    <mergeCell ref="U9:Z9"/>
    <mergeCell ref="A12:E12"/>
    <mergeCell ref="A11:AA11"/>
    <mergeCell ref="U14:W14"/>
    <mergeCell ref="X14:Z14"/>
  </mergeCells>
  <phoneticPr fontId="0" type="noConversion"/>
  <conditionalFormatting sqref="I1:AA2 I3">
    <cfRule type="cellIs" dxfId="21" priority="24" stopIfTrue="1" operator="equal">
      <formula>"CLIENTE"</formula>
    </cfRule>
  </conditionalFormatting>
  <conditionalFormatting sqref="I3:AA4">
    <cfRule type="cellIs" dxfId="20" priority="23" stopIfTrue="1" operator="equal">
      <formula>"EQUIPAMENTO"</formula>
    </cfRule>
  </conditionalFormatting>
  <conditionalFormatting sqref="F7 D6 N6 I3 I1">
    <cfRule type="cellIs" dxfId="19" priority="22" stopIfTrue="1" operator="equal">
      <formula>""</formula>
    </cfRule>
  </conditionalFormatting>
  <conditionalFormatting sqref="D6 AA6 I3 N6:X6 I1">
    <cfRule type="cellIs" dxfId="18" priority="21" stopIfTrue="1" operator="equal">
      <formula>"880............."</formula>
    </cfRule>
  </conditionalFormatting>
  <conditionalFormatting sqref="AA6">
    <cfRule type="cellIs" dxfId="17" priority="19" stopIfTrue="1" operator="equal">
      <formula>"x"</formula>
    </cfRule>
  </conditionalFormatting>
  <pageMargins left="0.59055118110236227" right="0.59055118110236227" top="0.78740157480314965" bottom="0.78740157480314965" header="0" footer="0.51181102362204722"/>
  <pageSetup paperSize="9" scale="90" orientation="portrait" r:id="rId1"/>
  <headerFooter alignWithMargins="0">
    <oddFooter>&amp;C&amp;F - &amp;A&amp;RPag.: &amp;P de &amp;N&amp;L&amp;D - &amp;T
&amp;K808080&amp;"Trebuchet MS"CLASSIFICAÇÃO DO DOCUMENTO: INTERNO</oddFooter>
  </headerFooter>
  <drawing r:id="rId2"/>
  <legacyDrawingHF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Plan12"/>
  <dimension ref="A1:BB25"/>
  <sheetViews>
    <sheetView showGridLines="0" zoomScaleNormal="100" workbookViewId="0">
      <selection activeCell="A25" sqref="A25:AA25"/>
    </sheetView>
  </sheetViews>
  <sheetFormatPr defaultColWidth="3.6640625" defaultRowHeight="13.2"/>
  <cols>
    <col min="1" max="1" width="4.5546875" customWidth="1"/>
    <col min="18" max="18" width="3.6640625" customWidth="1"/>
    <col min="23" max="23" width="3.6640625" customWidth="1"/>
  </cols>
  <sheetData>
    <row r="1" spans="1:54" ht="12.75" customHeight="1">
      <c r="A1" s="849"/>
      <c r="B1" s="850"/>
      <c r="C1" s="850"/>
      <c r="D1" s="850"/>
      <c r="E1" s="850"/>
      <c r="F1" s="850"/>
      <c r="G1" s="850"/>
      <c r="H1" s="851"/>
      <c r="I1" s="824" t="str">
        <f>TOTAL!I1</f>
        <v xml:space="preserve"> - </v>
      </c>
      <c r="J1" s="825"/>
      <c r="K1" s="825"/>
      <c r="L1" s="825"/>
      <c r="M1" s="825"/>
      <c r="N1" s="825"/>
      <c r="O1" s="825"/>
      <c r="P1" s="825"/>
      <c r="Q1" s="825"/>
      <c r="R1" s="825"/>
      <c r="S1" s="825"/>
      <c r="T1" s="825"/>
      <c r="U1" s="825"/>
      <c r="V1" s="825"/>
      <c r="W1" s="825"/>
      <c r="X1" s="825"/>
      <c r="Y1" s="825"/>
      <c r="Z1" s="825"/>
      <c r="AA1" s="826"/>
    </row>
    <row r="2" spans="1:54" ht="12.75" customHeight="1" thickBot="1">
      <c r="A2" s="852"/>
      <c r="B2" s="853"/>
      <c r="C2" s="853"/>
      <c r="D2" s="853"/>
      <c r="E2" s="853"/>
      <c r="F2" s="853"/>
      <c r="G2" s="853"/>
      <c r="H2" s="854"/>
      <c r="I2" s="827"/>
      <c r="J2" s="828"/>
      <c r="K2" s="828"/>
      <c r="L2" s="828"/>
      <c r="M2" s="828"/>
      <c r="N2" s="828"/>
      <c r="O2" s="828"/>
      <c r="P2" s="828"/>
      <c r="Q2" s="828"/>
      <c r="R2" s="828"/>
      <c r="S2" s="828"/>
      <c r="T2" s="828"/>
      <c r="U2" s="828"/>
      <c r="V2" s="828"/>
      <c r="W2" s="828"/>
      <c r="X2" s="828"/>
      <c r="Y2" s="828"/>
      <c r="Z2" s="828"/>
      <c r="AA2" s="829"/>
    </row>
    <row r="3" spans="1:54" ht="12.75" customHeight="1">
      <c r="A3" s="852"/>
      <c r="B3" s="853"/>
      <c r="C3" s="853"/>
      <c r="D3" s="853"/>
      <c r="E3" s="853"/>
      <c r="F3" s="853"/>
      <c r="G3" s="853"/>
      <c r="H3" s="854"/>
      <c r="I3" s="824" t="str">
        <f>TOTAL!I3</f>
        <v xml:space="preserve"> - </v>
      </c>
      <c r="J3" s="841"/>
      <c r="K3" s="841"/>
      <c r="L3" s="841"/>
      <c r="M3" s="841"/>
      <c r="N3" s="841"/>
      <c r="O3" s="841"/>
      <c r="P3" s="841"/>
      <c r="Q3" s="841"/>
      <c r="R3" s="841"/>
      <c r="S3" s="841"/>
      <c r="T3" s="841"/>
      <c r="U3" s="841"/>
      <c r="V3" s="841"/>
      <c r="W3" s="841"/>
      <c r="X3" s="841"/>
      <c r="Y3" s="841"/>
      <c r="Z3" s="841"/>
      <c r="AA3" s="842"/>
      <c r="AF3" s="890" t="s">
        <v>425</v>
      </c>
      <c r="AG3" s="891"/>
      <c r="AH3" s="891"/>
      <c r="AI3" s="891"/>
      <c r="AJ3" s="891"/>
      <c r="AK3" s="891"/>
      <c r="AL3" s="891"/>
      <c r="AM3" s="891"/>
      <c r="AN3" s="891"/>
      <c r="AO3" s="891"/>
      <c r="AP3" s="891"/>
      <c r="AQ3" s="891"/>
      <c r="AR3" s="891"/>
      <c r="AS3" s="891"/>
      <c r="AT3" s="891"/>
      <c r="AU3" s="892"/>
      <c r="AV3" s="880" t="s">
        <v>426</v>
      </c>
      <c r="AW3" s="881"/>
      <c r="AX3" s="881"/>
      <c r="AY3" s="881"/>
      <c r="AZ3" s="881"/>
      <c r="BA3" s="881"/>
      <c r="BB3" s="882"/>
    </row>
    <row r="4" spans="1:54" ht="12.75" customHeight="1" thickBot="1">
      <c r="A4" s="852"/>
      <c r="B4" s="853"/>
      <c r="C4" s="853"/>
      <c r="D4" s="853"/>
      <c r="E4" s="853"/>
      <c r="F4" s="853"/>
      <c r="G4" s="853"/>
      <c r="H4" s="854"/>
      <c r="I4" s="843"/>
      <c r="J4" s="844"/>
      <c r="K4" s="844"/>
      <c r="L4" s="844"/>
      <c r="M4" s="844"/>
      <c r="N4" s="844"/>
      <c r="O4" s="844"/>
      <c r="P4" s="844"/>
      <c r="Q4" s="844"/>
      <c r="R4" s="844"/>
      <c r="S4" s="844"/>
      <c r="T4" s="844"/>
      <c r="U4" s="844"/>
      <c r="V4" s="844"/>
      <c r="W4" s="844"/>
      <c r="X4" s="844"/>
      <c r="Y4" s="844"/>
      <c r="Z4" s="844"/>
      <c r="AA4" s="845"/>
      <c r="AF4" s="893"/>
      <c r="AG4" s="894"/>
      <c r="AH4" s="894"/>
      <c r="AI4" s="894"/>
      <c r="AJ4" s="894"/>
      <c r="AK4" s="894"/>
      <c r="AL4" s="894"/>
      <c r="AM4" s="894"/>
      <c r="AN4" s="894"/>
      <c r="AO4" s="894"/>
      <c r="AP4" s="894"/>
      <c r="AQ4" s="894"/>
      <c r="AR4" s="894"/>
      <c r="AS4" s="894"/>
      <c r="AT4" s="894"/>
      <c r="AU4" s="895"/>
      <c r="AV4" s="883"/>
      <c r="AW4" s="884"/>
      <c r="AX4" s="884"/>
      <c r="AY4" s="884"/>
      <c r="AZ4" s="884"/>
      <c r="BA4" s="884"/>
      <c r="BB4" s="885"/>
    </row>
    <row r="5" spans="1:54" ht="5.0999999999999996" customHeight="1">
      <c r="A5" s="852"/>
      <c r="B5" s="853"/>
      <c r="C5" s="853"/>
      <c r="D5" s="853"/>
      <c r="E5" s="853"/>
      <c r="F5" s="853"/>
      <c r="G5" s="853"/>
      <c r="H5" s="854"/>
      <c r="I5" s="846"/>
      <c r="J5" s="847"/>
      <c r="K5" s="847"/>
      <c r="L5" s="847"/>
      <c r="M5" s="847"/>
      <c r="N5" s="847"/>
      <c r="O5" s="847"/>
      <c r="P5" s="847"/>
      <c r="Q5" s="847"/>
      <c r="R5" s="847"/>
      <c r="S5" s="847"/>
      <c r="T5" s="847"/>
      <c r="U5" s="847"/>
      <c r="V5" s="847"/>
      <c r="W5" s="847"/>
      <c r="X5" s="847"/>
      <c r="Y5" s="847"/>
      <c r="Z5" s="847"/>
      <c r="AA5" s="848"/>
    </row>
    <row r="6" spans="1:54" ht="16.5" customHeight="1">
      <c r="A6" s="852"/>
      <c r="B6" s="853"/>
      <c r="C6" s="853"/>
      <c r="D6" s="853"/>
      <c r="E6" s="853"/>
      <c r="F6" s="853"/>
      <c r="G6" s="853"/>
      <c r="H6" s="854"/>
      <c r="I6" s="833" t="str">
        <f>TOTAL!I6</f>
        <v>Drawing number</v>
      </c>
      <c r="J6" s="834"/>
      <c r="K6" s="834"/>
      <c r="L6" s="834"/>
      <c r="M6" s="834"/>
      <c r="N6" s="834"/>
      <c r="O6" s="834"/>
      <c r="P6" s="834"/>
      <c r="Q6" s="834"/>
      <c r="R6" s="834"/>
      <c r="S6" s="834"/>
      <c r="T6" s="834"/>
      <c r="U6" s="835"/>
      <c r="V6" s="858" t="str">
        <f>TOTAL!V6</f>
        <v>Revision</v>
      </c>
      <c r="W6" s="858"/>
      <c r="X6" s="859"/>
      <c r="Y6" s="833" t="str">
        <f>TOTAL!Y6</f>
        <v>State</v>
      </c>
      <c r="Z6" s="834"/>
      <c r="AA6" s="835"/>
    </row>
    <row r="7" spans="1:54" ht="15">
      <c r="A7" s="855"/>
      <c r="B7" s="856"/>
      <c r="C7" s="856"/>
      <c r="D7" s="856"/>
      <c r="E7" s="856"/>
      <c r="F7" s="856"/>
      <c r="G7" s="856"/>
      <c r="H7" s="857"/>
      <c r="I7" s="830" t="str">
        <f>TOTAL!I7</f>
        <v>CS</v>
      </c>
      <c r="J7" s="831"/>
      <c r="K7" s="831"/>
      <c r="L7" s="831"/>
      <c r="M7" s="831"/>
      <c r="N7" s="831"/>
      <c r="O7" s="831"/>
      <c r="P7" s="831"/>
      <c r="Q7" s="831"/>
      <c r="R7" s="831"/>
      <c r="S7" s="831"/>
      <c r="T7" s="831"/>
      <c r="U7" s="832"/>
      <c r="V7" s="839" t="str">
        <f>TOTAL!V7</f>
        <v>A00</v>
      </c>
      <c r="W7" s="840"/>
      <c r="X7" s="840"/>
      <c r="Y7" s="836" t="str">
        <f>TOTAL!Y7</f>
        <v>V</v>
      </c>
      <c r="Z7" s="837"/>
      <c r="AA7" s="838"/>
    </row>
    <row r="8" spans="1:54" ht="5.0999999999999996" customHeight="1">
      <c r="A8" s="872"/>
      <c r="B8" s="872"/>
      <c r="C8" s="872"/>
      <c r="D8" s="872"/>
      <c r="E8" s="872"/>
      <c r="F8" s="872"/>
      <c r="G8" s="872"/>
      <c r="H8" s="872"/>
      <c r="I8" s="872"/>
      <c r="J8" s="872"/>
      <c r="K8" s="872"/>
      <c r="L8" s="872"/>
      <c r="M8" s="872"/>
      <c r="N8" s="872"/>
      <c r="O8" s="872"/>
      <c r="P8" s="872"/>
      <c r="Q8" s="872"/>
      <c r="R8" s="872"/>
      <c r="S8" s="872"/>
      <c r="T8" s="872"/>
      <c r="U8" s="872"/>
      <c r="V8" s="872"/>
      <c r="W8" s="872"/>
      <c r="X8" s="872"/>
      <c r="Y8" s="872"/>
      <c r="Z8" s="872"/>
      <c r="AA8" s="872"/>
    </row>
    <row r="9" spans="1:54" ht="15.6">
      <c r="A9" s="823" t="s">
        <v>508</v>
      </c>
      <c r="B9" s="888"/>
      <c r="C9" s="888"/>
      <c r="D9" s="888"/>
      <c r="E9" s="888"/>
      <c r="F9" s="888"/>
      <c r="G9" s="888"/>
      <c r="H9" s="888"/>
      <c r="I9" s="888"/>
      <c r="J9" s="888"/>
      <c r="K9" s="888"/>
      <c r="L9" s="888"/>
      <c r="M9" s="888"/>
      <c r="N9" s="888"/>
      <c r="O9" s="888"/>
      <c r="P9" s="888"/>
      <c r="Q9" s="888"/>
      <c r="R9" s="888"/>
      <c r="S9" s="888"/>
      <c r="T9" s="888"/>
      <c r="U9" s="888"/>
      <c r="V9" s="888"/>
      <c r="W9" s="888"/>
      <c r="X9" s="888"/>
      <c r="Y9" s="888"/>
      <c r="Z9" s="888"/>
      <c r="AA9" s="888"/>
    </row>
    <row r="10" spans="1:54" ht="13.8">
      <c r="A10" s="10"/>
      <c r="B10" s="886"/>
      <c r="C10" s="886"/>
      <c r="D10" s="886"/>
      <c r="E10" s="886"/>
      <c r="F10" s="886"/>
      <c r="G10" s="886"/>
      <c r="H10" s="886"/>
      <c r="I10" s="886"/>
      <c r="J10" s="886"/>
      <c r="K10" s="886"/>
      <c r="L10" s="886"/>
      <c r="M10" s="886"/>
      <c r="N10" s="886"/>
      <c r="O10" s="886"/>
      <c r="P10" s="886"/>
      <c r="Q10" s="886"/>
      <c r="R10" s="886"/>
      <c r="S10" s="886"/>
      <c r="T10" s="886"/>
      <c r="U10" s="886"/>
      <c r="V10" s="886"/>
      <c r="W10" s="886"/>
      <c r="X10" s="886"/>
      <c r="Y10" s="886"/>
      <c r="Z10" s="886"/>
      <c r="AA10" s="886"/>
    </row>
    <row r="11" spans="1:54" ht="13.8">
      <c r="A11" s="10"/>
      <c r="B11" s="886"/>
      <c r="C11" s="886"/>
      <c r="D11" s="886"/>
      <c r="E11" s="886"/>
      <c r="F11" s="886"/>
      <c r="G11" s="886"/>
      <c r="H11" s="886"/>
      <c r="I11" s="886"/>
      <c r="J11" s="886"/>
      <c r="K11" s="886"/>
      <c r="L11" s="886"/>
      <c r="M11" s="886"/>
      <c r="N11" s="886"/>
      <c r="O11" s="886"/>
      <c r="P11" s="886"/>
      <c r="Q11" s="886"/>
      <c r="R11" s="886"/>
      <c r="S11" s="886"/>
      <c r="T11" s="886"/>
      <c r="U11" s="886"/>
      <c r="V11" s="886"/>
      <c r="W11" s="886"/>
      <c r="X11" s="886"/>
      <c r="Y11" s="886"/>
      <c r="Z11" s="886"/>
      <c r="AA11" s="886"/>
    </row>
    <row r="12" spans="1:54" ht="13.8">
      <c r="A12" s="10"/>
      <c r="B12" s="886"/>
      <c r="C12" s="886"/>
      <c r="D12" s="886"/>
      <c r="E12" s="886"/>
      <c r="F12" s="886"/>
      <c r="G12" s="886"/>
      <c r="H12" s="886"/>
      <c r="I12" s="886"/>
      <c r="J12" s="886"/>
      <c r="K12" s="886"/>
      <c r="L12" s="886"/>
      <c r="M12" s="886"/>
      <c r="N12" s="886"/>
      <c r="O12" s="886"/>
      <c r="P12" s="886"/>
      <c r="Q12" s="886"/>
      <c r="R12" s="886"/>
      <c r="S12" s="886"/>
      <c r="T12" s="886"/>
      <c r="U12" s="886"/>
      <c r="V12" s="886"/>
      <c r="W12" s="886"/>
      <c r="X12" s="886"/>
      <c r="Y12" s="886"/>
      <c r="Z12" s="886"/>
      <c r="AA12" s="886"/>
    </row>
    <row r="13" spans="1:54" ht="13.8">
      <c r="A13" s="10"/>
      <c r="B13" s="886"/>
      <c r="C13" s="886"/>
      <c r="D13" s="886"/>
      <c r="E13" s="886"/>
      <c r="F13" s="886"/>
      <c r="G13" s="886"/>
      <c r="H13" s="886"/>
      <c r="I13" s="886"/>
      <c r="J13" s="886"/>
      <c r="K13" s="886"/>
      <c r="L13" s="886"/>
      <c r="M13" s="886"/>
      <c r="N13" s="886"/>
      <c r="O13" s="886"/>
      <c r="P13" s="886"/>
      <c r="Q13" s="886"/>
      <c r="R13" s="886"/>
      <c r="S13" s="886"/>
      <c r="T13" s="886"/>
      <c r="U13" s="886"/>
      <c r="V13" s="886"/>
      <c r="W13" s="886"/>
      <c r="X13" s="886"/>
      <c r="Y13" s="886"/>
      <c r="Z13" s="886"/>
      <c r="AA13" s="886"/>
    </row>
    <row r="14" spans="1:54" ht="15" customHeight="1">
      <c r="A14" s="10"/>
      <c r="B14" s="886"/>
      <c r="C14" s="886"/>
      <c r="D14" s="886"/>
      <c r="E14" s="886"/>
      <c r="F14" s="886"/>
      <c r="G14" s="886"/>
      <c r="H14" s="886"/>
      <c r="I14" s="886"/>
      <c r="J14" s="886"/>
      <c r="K14" s="886"/>
      <c r="L14" s="886"/>
      <c r="M14" s="886"/>
      <c r="N14" s="886"/>
      <c r="O14" s="886"/>
      <c r="P14" s="886"/>
      <c r="Q14" s="886"/>
      <c r="R14" s="886"/>
      <c r="S14" s="886"/>
      <c r="T14" s="886"/>
      <c r="U14" s="886"/>
      <c r="V14" s="886"/>
      <c r="W14" s="886"/>
      <c r="X14" s="886"/>
      <c r="Y14" s="886"/>
      <c r="Z14" s="886"/>
      <c r="AA14" s="886"/>
    </row>
    <row r="15" spans="1:54" ht="15" customHeight="1">
      <c r="A15" s="10"/>
      <c r="B15" s="886"/>
      <c r="C15" s="886"/>
      <c r="D15" s="886"/>
      <c r="E15" s="886"/>
      <c r="F15" s="886"/>
      <c r="G15" s="886"/>
      <c r="H15" s="886"/>
      <c r="I15" s="886"/>
      <c r="J15" s="886"/>
      <c r="K15" s="886"/>
      <c r="L15" s="886"/>
      <c r="M15" s="886"/>
      <c r="N15" s="886"/>
      <c r="O15" s="886"/>
      <c r="P15" s="886"/>
      <c r="Q15" s="886"/>
      <c r="R15" s="886"/>
      <c r="S15" s="886"/>
      <c r="T15" s="886"/>
      <c r="U15" s="886"/>
      <c r="V15" s="886"/>
      <c r="W15" s="886"/>
      <c r="X15" s="886"/>
      <c r="Y15" s="886"/>
      <c r="Z15" s="886"/>
      <c r="AA15" s="886"/>
    </row>
    <row r="16" spans="1:54" ht="15" customHeight="1">
      <c r="A16" s="10"/>
      <c r="B16" s="886"/>
      <c r="C16" s="886"/>
      <c r="D16" s="886"/>
      <c r="E16" s="886"/>
      <c r="F16" s="886"/>
      <c r="G16" s="886"/>
      <c r="H16" s="886"/>
      <c r="I16" s="886"/>
      <c r="J16" s="886"/>
      <c r="K16" s="886"/>
      <c r="L16" s="886"/>
      <c r="M16" s="886"/>
      <c r="N16" s="886"/>
      <c r="O16" s="886"/>
      <c r="P16" s="886"/>
      <c r="Q16" s="886"/>
      <c r="R16" s="886"/>
      <c r="S16" s="886"/>
      <c r="T16" s="886"/>
      <c r="U16" s="886"/>
      <c r="V16" s="886"/>
      <c r="W16" s="886"/>
      <c r="X16" s="886"/>
      <c r="Y16" s="886"/>
      <c r="Z16" s="886"/>
      <c r="AA16" s="886"/>
    </row>
    <row r="17" spans="1:27" ht="15" customHeight="1">
      <c r="A17" s="872"/>
      <c r="B17" s="872"/>
      <c r="C17" s="872"/>
      <c r="D17" s="872"/>
      <c r="E17" s="872"/>
      <c r="F17" s="872"/>
      <c r="G17" s="872"/>
      <c r="H17" s="872"/>
      <c r="I17" s="872"/>
      <c r="J17" s="872"/>
      <c r="K17" s="872"/>
      <c r="L17" s="872"/>
      <c r="M17" s="872"/>
      <c r="N17" s="872"/>
      <c r="O17" s="872"/>
      <c r="P17" s="872"/>
      <c r="Q17" s="872"/>
      <c r="R17" s="872"/>
      <c r="S17" s="872"/>
      <c r="T17" s="872"/>
      <c r="U17" s="872"/>
      <c r="V17" s="872"/>
      <c r="W17" s="872"/>
      <c r="X17" s="872"/>
      <c r="Y17" s="872"/>
      <c r="Z17" s="872"/>
      <c r="AA17" s="872"/>
    </row>
    <row r="18" spans="1:27" ht="15" customHeight="1">
      <c r="A18" s="863" t="s">
        <v>656</v>
      </c>
      <c r="B18" s="887"/>
      <c r="C18" s="887"/>
      <c r="D18" s="887"/>
      <c r="E18" s="887"/>
      <c r="F18" s="887"/>
      <c r="G18" s="887"/>
      <c r="H18" s="887"/>
      <c r="I18" s="887"/>
      <c r="J18" s="887"/>
      <c r="K18" s="887"/>
      <c r="L18" s="887"/>
      <c r="M18" s="887"/>
      <c r="N18" s="887"/>
      <c r="O18" s="887"/>
      <c r="P18" s="887"/>
      <c r="Q18" s="887"/>
      <c r="R18" s="889" t="s">
        <v>659</v>
      </c>
      <c r="S18" s="889"/>
      <c r="T18" s="889"/>
      <c r="U18" s="889"/>
      <c r="V18" s="889"/>
      <c r="W18" s="889" t="s">
        <v>660</v>
      </c>
      <c r="X18" s="889"/>
      <c r="Y18" s="889"/>
      <c r="Z18" s="889"/>
      <c r="AA18" s="889"/>
    </row>
    <row r="19" spans="1:27" ht="15" customHeight="1">
      <c r="A19" s="864" t="s">
        <v>661</v>
      </c>
      <c r="B19" s="864"/>
      <c r="C19" s="864"/>
      <c r="D19" s="864"/>
      <c r="E19" s="864"/>
      <c r="F19" s="864"/>
      <c r="G19" s="864"/>
      <c r="H19" s="864"/>
      <c r="I19" s="864"/>
      <c r="J19" s="864"/>
      <c r="K19" s="864"/>
      <c r="L19" s="864"/>
      <c r="M19" s="864"/>
      <c r="N19" s="864"/>
      <c r="O19" s="864"/>
      <c r="P19" s="864"/>
      <c r="Q19" s="864"/>
      <c r="R19" s="896">
        <v>0</v>
      </c>
      <c r="S19" s="897"/>
      <c r="T19" s="897"/>
      <c r="U19" s="897"/>
      <c r="V19" s="897"/>
      <c r="W19" s="896">
        <v>0</v>
      </c>
      <c r="X19" s="897"/>
      <c r="Y19" s="897"/>
      <c r="Z19" s="897"/>
      <c r="AA19" s="897"/>
    </row>
    <row r="20" spans="1:27" ht="15" customHeight="1">
      <c r="A20" s="901" t="s">
        <v>661</v>
      </c>
      <c r="B20" s="902"/>
      <c r="C20" s="902"/>
      <c r="D20" s="902"/>
      <c r="E20" s="902"/>
      <c r="F20" s="902"/>
      <c r="G20" s="902"/>
      <c r="H20" s="902"/>
      <c r="I20" s="902"/>
      <c r="J20" s="902"/>
      <c r="K20" s="902"/>
      <c r="L20" s="902"/>
      <c r="M20" s="902"/>
      <c r="N20" s="902"/>
      <c r="O20" s="902"/>
      <c r="P20" s="902"/>
      <c r="Q20" s="903"/>
      <c r="R20" s="879">
        <v>0</v>
      </c>
      <c r="S20" s="899"/>
      <c r="T20" s="899"/>
      <c r="U20" s="899"/>
      <c r="V20" s="899"/>
      <c r="W20" s="879">
        <v>0</v>
      </c>
      <c r="X20" s="899"/>
      <c r="Y20" s="899"/>
      <c r="Z20" s="899"/>
      <c r="AA20" s="899"/>
    </row>
    <row r="21" spans="1:27" ht="15" customHeight="1">
      <c r="A21" s="872"/>
      <c r="B21" s="872"/>
      <c r="C21" s="872"/>
      <c r="D21" s="872"/>
      <c r="E21" s="872"/>
      <c r="F21" s="872"/>
      <c r="G21" s="872"/>
      <c r="H21" s="872"/>
      <c r="I21" s="872"/>
      <c r="J21" s="872"/>
      <c r="K21" s="872"/>
      <c r="L21" s="872"/>
      <c r="M21" s="872"/>
      <c r="N21" s="872"/>
      <c r="O21" s="872"/>
      <c r="P21" s="872"/>
      <c r="Q21" s="872"/>
      <c r="R21" s="898"/>
      <c r="S21" s="872"/>
      <c r="T21" s="872"/>
      <c r="U21" s="872"/>
      <c r="V21" s="872"/>
      <c r="W21" s="898"/>
      <c r="X21" s="872"/>
      <c r="Y21" s="872"/>
      <c r="Z21" s="872"/>
      <c r="AA21" s="872"/>
    </row>
    <row r="22" spans="1:27" ht="15" customHeight="1">
      <c r="A22" s="904" t="s">
        <v>657</v>
      </c>
      <c r="B22" s="905"/>
      <c r="C22" s="905"/>
      <c r="D22" s="905"/>
      <c r="E22" s="905"/>
      <c r="F22" s="905"/>
      <c r="G22" s="905"/>
      <c r="H22" s="905"/>
      <c r="I22" s="905"/>
      <c r="J22" s="905"/>
      <c r="K22" s="905"/>
      <c r="L22" s="905"/>
      <c r="M22" s="905"/>
      <c r="N22" s="905"/>
      <c r="O22" s="905"/>
      <c r="P22" s="905"/>
      <c r="Q22" s="905"/>
      <c r="R22" s="900" t="s">
        <v>659</v>
      </c>
      <c r="S22" s="900"/>
      <c r="T22" s="900"/>
      <c r="U22" s="900"/>
      <c r="V22" s="900"/>
      <c r="W22" s="900" t="s">
        <v>660</v>
      </c>
      <c r="X22" s="900"/>
      <c r="Y22" s="900"/>
      <c r="Z22" s="900"/>
      <c r="AA22" s="900"/>
    </row>
    <row r="23" spans="1:27" ht="15" customHeight="1">
      <c r="A23" s="953"/>
      <c r="B23" s="953"/>
      <c r="C23" s="953"/>
      <c r="D23" s="953"/>
      <c r="E23" s="953"/>
      <c r="F23" s="953"/>
      <c r="G23" s="953"/>
      <c r="H23" s="953"/>
      <c r="I23" s="953"/>
      <c r="J23" s="953"/>
      <c r="K23" s="953"/>
      <c r="L23" s="953"/>
      <c r="M23" s="953"/>
      <c r="N23" s="953"/>
      <c r="O23" s="953"/>
      <c r="P23" s="953"/>
      <c r="Q23" s="953"/>
      <c r="R23" s="960"/>
      <c r="S23" s="960"/>
      <c r="T23" s="960"/>
      <c r="U23" s="960"/>
      <c r="V23" s="960"/>
      <c r="W23" s="960"/>
      <c r="X23" s="960"/>
      <c r="Y23" s="960"/>
      <c r="Z23" s="960"/>
      <c r="AA23" s="960"/>
    </row>
    <row r="24" spans="1:27" ht="15" customHeight="1">
      <c r="A24" s="953"/>
      <c r="B24" s="953"/>
      <c r="C24" s="953"/>
      <c r="D24" s="953"/>
      <c r="E24" s="953"/>
      <c r="F24" s="953"/>
      <c r="G24" s="953"/>
      <c r="H24" s="953"/>
      <c r="I24" s="953"/>
      <c r="J24" s="953"/>
      <c r="K24" s="953"/>
      <c r="L24" s="953"/>
      <c r="M24" s="953"/>
      <c r="N24" s="953"/>
      <c r="O24" s="953"/>
      <c r="P24" s="953"/>
      <c r="Q24" s="953"/>
      <c r="R24" s="960"/>
      <c r="S24" s="960"/>
      <c r="T24" s="960"/>
      <c r="U24" s="960"/>
      <c r="V24" s="960"/>
      <c r="W24" s="960"/>
      <c r="X24" s="960"/>
      <c r="Y24" s="960"/>
      <c r="Z24" s="960"/>
      <c r="AA24" s="960"/>
    </row>
    <row r="25" spans="1:27" ht="15" customHeight="1">
      <c r="A25" s="961" t="s">
        <v>661</v>
      </c>
      <c r="B25" s="961"/>
      <c r="C25" s="961"/>
      <c r="D25" s="961"/>
      <c r="E25" s="961"/>
      <c r="F25" s="961"/>
      <c r="G25" s="961"/>
      <c r="H25" s="961"/>
      <c r="I25" s="961"/>
      <c r="J25" s="961"/>
      <c r="K25" s="961"/>
      <c r="L25" s="961"/>
      <c r="M25" s="961"/>
      <c r="N25" s="961"/>
      <c r="O25" s="961"/>
      <c r="P25" s="961"/>
      <c r="Q25" s="961"/>
      <c r="R25" s="962">
        <v>0</v>
      </c>
      <c r="S25" s="952"/>
      <c r="T25" s="952"/>
      <c r="U25" s="952"/>
      <c r="V25" s="952"/>
      <c r="W25" s="962">
        <v>0</v>
      </c>
      <c r="X25" s="952"/>
      <c r="Y25" s="952"/>
      <c r="Z25" s="952"/>
      <c r="AA25" s="952"/>
    </row>
  </sheetData>
  <sortState xmlns:xlrd2="http://schemas.microsoft.com/office/spreadsheetml/2017/richdata2" ref="A23:AA25">
    <sortCondition ref="A23"/>
  </sortState>
  <mergeCells count="43">
    <mergeCell ref="A25:Q25"/>
    <mergeCell ref="R25:V25"/>
    <mergeCell ref="W25:AA25"/>
    <mergeCell ref="A23:Q23"/>
    <mergeCell ref="R23:V23"/>
    <mergeCell ref="W23:AA23"/>
    <mergeCell ref="A24:Q24"/>
    <mergeCell ref="R24:V24"/>
    <mergeCell ref="W24:AA24"/>
    <mergeCell ref="W19:AA19"/>
    <mergeCell ref="A21:AA21"/>
    <mergeCell ref="R20:V20"/>
    <mergeCell ref="B12:AA12"/>
    <mergeCell ref="R22:V22"/>
    <mergeCell ref="W22:AA22"/>
    <mergeCell ref="A20:Q20"/>
    <mergeCell ref="A22:Q22"/>
    <mergeCell ref="W20:AA20"/>
    <mergeCell ref="A19:Q19"/>
    <mergeCell ref="R19:V19"/>
    <mergeCell ref="AV3:BB4"/>
    <mergeCell ref="B15:AA15"/>
    <mergeCell ref="A18:Q18"/>
    <mergeCell ref="B14:AA14"/>
    <mergeCell ref="B13:AA13"/>
    <mergeCell ref="A9:AA9"/>
    <mergeCell ref="R18:V18"/>
    <mergeCell ref="B16:AA16"/>
    <mergeCell ref="B11:AA11"/>
    <mergeCell ref="W18:AA18"/>
    <mergeCell ref="Y7:AA7"/>
    <mergeCell ref="A17:AA17"/>
    <mergeCell ref="A8:AA8"/>
    <mergeCell ref="AF3:AU4"/>
    <mergeCell ref="B10:AA10"/>
    <mergeCell ref="I1:AA2"/>
    <mergeCell ref="A1:H7"/>
    <mergeCell ref="I3:AA5"/>
    <mergeCell ref="I6:U6"/>
    <mergeCell ref="V6:X6"/>
    <mergeCell ref="Y6:AA6"/>
    <mergeCell ref="I7:U7"/>
    <mergeCell ref="V7:X7"/>
  </mergeCells>
  <phoneticPr fontId="0" type="noConversion"/>
  <conditionalFormatting sqref="I1:AA2 I3">
    <cfRule type="cellIs" dxfId="16" priority="29" stopIfTrue="1" operator="equal">
      <formula>"CLIENTE"</formula>
    </cfRule>
  </conditionalFormatting>
  <conditionalFormatting sqref="I3:AA4">
    <cfRule type="cellIs" dxfId="15" priority="28" stopIfTrue="1" operator="equal">
      <formula>"EQUIPAMENTO"</formula>
    </cfRule>
  </conditionalFormatting>
  <conditionalFormatting sqref="F7 D6 N6 I3 I1">
    <cfRule type="cellIs" dxfId="14" priority="27" stopIfTrue="1" operator="equal">
      <formula>""</formula>
    </cfRule>
  </conditionalFormatting>
  <conditionalFormatting sqref="D6 AA6 I3 N6:X6 I1">
    <cfRule type="cellIs" dxfId="13" priority="26" stopIfTrue="1" operator="equal">
      <formula>"880............."</formula>
    </cfRule>
  </conditionalFormatting>
  <conditionalFormatting sqref="AA6">
    <cfRule type="cellIs" dxfId="12" priority="24" stopIfTrue="1" operator="equal">
      <formula>"x"</formula>
    </cfRule>
  </conditionalFormatting>
  <pageMargins left="0.59055118110236227" right="0.59055118110236227" top="0.78740157480314965" bottom="0.78740157480314965" header="0" footer="0.51181102362204722"/>
  <pageSetup paperSize="9" scale="90" orientation="portrait" r:id="rId1"/>
  <headerFooter alignWithMargins="0">
    <oddFooter>&amp;C&amp;F - &amp;A&amp;RPag.: &amp;P de &amp;N&amp;L&amp;D - &amp;T
&amp;K808080&amp;"Trebuchet MS"CLASSIFICAÇÃO DO DOCUMENTO: INTERNO</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58124" r:id="rId5" name="Button 780">
              <controlPr defaultSize="0" print="0" autoFill="0" autoPict="0" macro="[0]!botao_converterSIparaINGLESAS">
                <anchor moveWithCells="1" sizeWithCells="1">
                  <from>
                    <xdr:col>30</xdr:col>
                    <xdr:colOff>251460</xdr:colOff>
                    <xdr:row>5</xdr:row>
                    <xdr:rowOff>152400</xdr:rowOff>
                  </from>
                  <to>
                    <xdr:col>48</xdr:col>
                    <xdr:colOff>251460</xdr:colOff>
                    <xdr:row>8</xdr:row>
                    <xdr:rowOff>106680</xdr:rowOff>
                  </to>
                </anchor>
              </controlPr>
            </control>
          </mc:Choice>
        </mc:AlternateContent>
        <mc:AlternateContent xmlns:mc="http://schemas.openxmlformats.org/markup-compatibility/2006">
          <mc:Choice Requires="x14">
            <control shapeId="58125" r:id="rId6" name="Button 781">
              <controlPr defaultSize="0" print="0" autoFill="0" autoPict="0" macro="[0]!botao_converterINGLESASparaSI">
                <anchor moveWithCells="1" sizeWithCells="1">
                  <from>
                    <xdr:col>30</xdr:col>
                    <xdr:colOff>251460</xdr:colOff>
                    <xdr:row>9</xdr:row>
                    <xdr:rowOff>60960</xdr:rowOff>
                  </from>
                  <to>
                    <xdr:col>48</xdr:col>
                    <xdr:colOff>251460</xdr:colOff>
                    <xdr:row>11</xdr:row>
                    <xdr:rowOff>106680</xdr:rowOff>
                  </to>
                </anchor>
              </controlPr>
            </control>
          </mc:Choice>
        </mc:AlternateContent>
        <mc:AlternateContent xmlns:mc="http://schemas.openxmlformats.org/markup-compatibility/2006">
          <mc:Choice Requires="x14">
            <control shapeId="80537" r:id="rId7" name="Button 1689">
              <controlPr defaultSize="0" print="0" autoFill="0" autoPict="0" macro="[0]!salvarListaSemMemoria">
                <anchor moveWithCells="1" sizeWithCells="1">
                  <from>
                    <xdr:col>35</xdr:col>
                    <xdr:colOff>228600</xdr:colOff>
                    <xdr:row>13</xdr:row>
                    <xdr:rowOff>30480</xdr:rowOff>
                  </from>
                  <to>
                    <xdr:col>42</xdr:col>
                    <xdr:colOff>137160</xdr:colOff>
                    <xdr:row>16</xdr:row>
                    <xdr:rowOff>99060</xdr:rowOff>
                  </to>
                </anchor>
              </controlPr>
            </control>
          </mc:Choice>
        </mc:AlternateContent>
        <mc:AlternateContent xmlns:mc="http://schemas.openxmlformats.org/markup-compatibility/2006">
          <mc:Choice Requires="x14">
            <control shapeId="80538" r:id="rId8" name="Button 1690">
              <controlPr defaultSize="0" print="0" autoFill="0" autoPict="0" macro="[0]!CompiledBom">
                <anchor moveWithCells="1" sizeWithCells="1">
                  <from>
                    <xdr:col>35</xdr:col>
                    <xdr:colOff>228600</xdr:colOff>
                    <xdr:row>17</xdr:row>
                    <xdr:rowOff>30480</xdr:rowOff>
                  </from>
                  <to>
                    <xdr:col>42</xdr:col>
                    <xdr:colOff>137160</xdr:colOff>
                    <xdr:row>20</xdr:row>
                    <xdr:rowOff>99060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F19C45-F965-4EE0-B31A-20D6876FC8FA}">
  <sheetPr codeName="Planilha2"/>
  <dimension ref="A1:F31"/>
  <sheetViews>
    <sheetView showGridLines="0" workbookViewId="0">
      <selection activeCell="B10" sqref="B10"/>
    </sheetView>
  </sheetViews>
  <sheetFormatPr defaultRowHeight="13.2"/>
  <cols>
    <col min="1" max="1" width="29.33203125" customWidth="1"/>
    <col min="2" max="3" width="16.109375" customWidth="1"/>
    <col min="5" max="5" width="29.33203125" customWidth="1"/>
    <col min="6" max="6" width="16.109375" customWidth="1"/>
  </cols>
  <sheetData>
    <row r="1" spans="1:6">
      <c r="A1" s="633" t="s">
        <v>503</v>
      </c>
      <c r="B1" s="633" t="s">
        <v>669</v>
      </c>
      <c r="C1" s="634" t="s">
        <v>2199</v>
      </c>
      <c r="D1" s="633"/>
      <c r="E1" s="633" t="s">
        <v>2200</v>
      </c>
      <c r="F1" s="633" t="s">
        <v>669</v>
      </c>
    </row>
    <row r="2" spans="1:6">
      <c r="A2" s="344" t="s">
        <v>2283</v>
      </c>
      <c r="B2" s="633"/>
      <c r="C2" s="634"/>
      <c r="E2" t="s">
        <v>488</v>
      </c>
      <c r="F2" s="633"/>
    </row>
    <row r="3" spans="1:6">
      <c r="A3" t="s">
        <v>2294</v>
      </c>
      <c r="B3" s="633"/>
      <c r="C3" s="634"/>
      <c r="E3" t="s">
        <v>2214</v>
      </c>
      <c r="F3" s="633"/>
    </row>
    <row r="4" spans="1:6">
      <c r="A4" t="s">
        <v>2291</v>
      </c>
      <c r="B4" s="633"/>
      <c r="C4" s="634"/>
      <c r="E4" t="s">
        <v>255</v>
      </c>
      <c r="F4" s="633"/>
    </row>
    <row r="5" spans="1:6">
      <c r="A5" t="s">
        <v>2296</v>
      </c>
      <c r="B5" s="633"/>
      <c r="C5" s="634"/>
      <c r="E5" t="s">
        <v>2295</v>
      </c>
      <c r="F5" s="633"/>
    </row>
    <row r="6" spans="1:6">
      <c r="A6" t="s">
        <v>2289</v>
      </c>
      <c r="B6" s="633"/>
      <c r="C6" s="634"/>
      <c r="E6" t="s">
        <v>254</v>
      </c>
      <c r="F6" s="633"/>
    </row>
    <row r="7" spans="1:6">
      <c r="A7" t="s">
        <v>2287</v>
      </c>
      <c r="B7" s="633"/>
      <c r="C7" s="634"/>
      <c r="E7" t="s">
        <v>2074</v>
      </c>
      <c r="F7" s="633"/>
    </row>
    <row r="8" spans="1:6">
      <c r="A8" t="s">
        <v>2284</v>
      </c>
      <c r="B8" s="633"/>
      <c r="C8" s="634"/>
      <c r="E8" t="s">
        <v>227</v>
      </c>
      <c r="F8" s="633"/>
    </row>
    <row r="9" spans="1:6">
      <c r="A9" t="s">
        <v>2297</v>
      </c>
      <c r="B9" s="633"/>
      <c r="C9" s="634"/>
      <c r="E9" t="s">
        <v>228</v>
      </c>
      <c r="F9" s="633"/>
    </row>
    <row r="10" spans="1:6">
      <c r="B10" s="633"/>
      <c r="C10" s="633"/>
      <c r="E10" t="s">
        <v>234</v>
      </c>
      <c r="F10" s="633"/>
    </row>
    <row r="11" spans="1:6">
      <c r="B11" s="633"/>
      <c r="C11" s="633"/>
      <c r="E11" t="s">
        <v>2292</v>
      </c>
      <c r="F11" s="633"/>
    </row>
    <row r="12" spans="1:6">
      <c r="B12" s="633"/>
      <c r="C12" s="633"/>
      <c r="E12" t="s">
        <v>242</v>
      </c>
      <c r="F12" s="633"/>
    </row>
    <row r="13" spans="1:6">
      <c r="B13" s="633"/>
      <c r="C13" s="633"/>
      <c r="E13" t="s">
        <v>2029</v>
      </c>
      <c r="F13" s="633"/>
    </row>
    <row r="14" spans="1:6">
      <c r="E14" t="s">
        <v>2028</v>
      </c>
      <c r="F14" s="633"/>
    </row>
    <row r="15" spans="1:6">
      <c r="E15" t="s">
        <v>2027</v>
      </c>
      <c r="F15" s="633"/>
    </row>
    <row r="16" spans="1:6">
      <c r="E16" t="s">
        <v>2002</v>
      </c>
      <c r="F16" s="633"/>
    </row>
    <row r="17" spans="5:6">
      <c r="E17" t="s">
        <v>2003</v>
      </c>
      <c r="F17" s="633"/>
    </row>
    <row r="18" spans="5:6">
      <c r="E18" t="s">
        <v>2011</v>
      </c>
      <c r="F18" s="633"/>
    </row>
    <row r="19" spans="5:6">
      <c r="E19" t="s">
        <v>2009</v>
      </c>
      <c r="F19" s="633"/>
    </row>
    <row r="20" spans="5:6">
      <c r="E20" t="s">
        <v>2010</v>
      </c>
      <c r="F20" s="633"/>
    </row>
    <row r="21" spans="5:6">
      <c r="E21" t="s">
        <v>2015</v>
      </c>
      <c r="F21" s="633"/>
    </row>
    <row r="22" spans="5:6">
      <c r="E22" t="s">
        <v>2014</v>
      </c>
      <c r="F22" s="633"/>
    </row>
    <row r="23" spans="5:6">
      <c r="E23" t="s">
        <v>2018</v>
      </c>
      <c r="F23" s="633"/>
    </row>
    <row r="24" spans="5:6">
      <c r="E24" t="s">
        <v>2017</v>
      </c>
      <c r="F24" s="633"/>
    </row>
    <row r="25" spans="5:6">
      <c r="E25" t="s">
        <v>2021</v>
      </c>
      <c r="F25" s="633"/>
    </row>
    <row r="26" spans="5:6">
      <c r="E26" t="s">
        <v>2020</v>
      </c>
      <c r="F26" s="633"/>
    </row>
    <row r="27" spans="5:6">
      <c r="E27" t="s">
        <v>2025</v>
      </c>
      <c r="F27" s="633"/>
    </row>
    <row r="28" spans="5:6">
      <c r="E28" t="s">
        <v>2023</v>
      </c>
      <c r="F28" s="633"/>
    </row>
    <row r="29" spans="5:6">
      <c r="E29" t="s">
        <v>2290</v>
      </c>
      <c r="F29" s="633"/>
    </row>
    <row r="30" spans="5:6">
      <c r="E30" t="s">
        <v>2293</v>
      </c>
      <c r="F30" s="633"/>
    </row>
    <row r="31" spans="5:6">
      <c r="E31" t="s">
        <v>1403</v>
      </c>
      <c r="F31" s="633"/>
    </row>
  </sheetData>
  <conditionalFormatting sqref="A2:C13">
    <cfRule type="expression" dxfId="11" priority="2">
      <formula>$B2="Manual"</formula>
    </cfRule>
  </conditionalFormatting>
  <conditionalFormatting sqref="A2:C9">
    <cfRule type="expression" dxfId="10" priority="3">
      <formula>$C2="Add-On"</formula>
    </cfRule>
  </conditionalFormatting>
  <conditionalFormatting sqref="E2:F31">
    <cfRule type="expression" dxfId="9" priority="1">
      <formula>$F2="Manual"</formula>
    </cfRule>
  </conditionalFormatting>
  <conditionalFormatting sqref="B2:C9">
    <cfRule type="containsBlanks" dxfId="8" priority="4">
      <formula>LEN(TRIM(B2))=0</formula>
    </cfRule>
  </conditionalFormatting>
  <dataValidations count="2">
    <dataValidation type="list" allowBlank="1" showInputMessage="1" showErrorMessage="1" sqref="F2:F31 B2:B9" xr:uid="{2EB916F9-B5D4-4678-8E05-F25EB9C5033A}">
      <formula1>"Manual"</formula1>
    </dataValidation>
    <dataValidation type="list" allowBlank="1" showInputMessage="1" showErrorMessage="1" sqref="C2:C9" xr:uid="{DB3C9384-7DBF-4A54-868B-123A0D784D93}">
      <formula1>"Add-On"</formula1>
    </dataValidation>
  </dataValidations>
  <pageMargins left="0.511811024" right="0.511811024" top="0.78740157499999996" bottom="0.78740157499999996" header="0.31496062000000002" footer="0.31496062000000002"/>
  <pageSetup paperSize="9" orientation="portrait" r:id="rId1"/>
  <drawing r:id="rId2"/>
  <tableParts count="2">
    <tablePart r:id="rId3"/>
    <tablePart r:id="rId4"/>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D87AD9-92DF-4C0F-955A-810D050AB4A2}">
  <sheetPr codeName="Planilha3"/>
  <dimension ref="A1:J967"/>
  <sheetViews>
    <sheetView showGridLines="0" workbookViewId="0">
      <selection activeCell="K27" sqref="K27"/>
    </sheetView>
  </sheetViews>
  <sheetFormatPr defaultRowHeight="13.2"/>
  <cols>
    <col min="1" max="1" width="77.6640625" bestFit="1" customWidth="1"/>
    <col min="2" max="2" width="8.5546875" customWidth="1"/>
    <col min="3" max="3" width="16.109375" bestFit="1" customWidth="1"/>
    <col min="4" max="4" width="8.5546875" customWidth="1"/>
    <col min="5" max="5" width="7.109375" bestFit="1" customWidth="1"/>
    <col min="6" max="6" width="8.88671875" bestFit="1" customWidth="1"/>
    <col min="7" max="7" width="8.5546875" bestFit="1" customWidth="1"/>
    <col min="8" max="8" width="9.88671875" bestFit="1" customWidth="1"/>
    <col min="9" max="9" width="21.109375" bestFit="1" customWidth="1"/>
    <col min="10" max="11" width="16.109375" bestFit="1" customWidth="1"/>
    <col min="12" max="12" width="20.21875" bestFit="1" customWidth="1"/>
    <col min="13" max="13" width="9.88671875" bestFit="1" customWidth="1"/>
  </cols>
  <sheetData>
    <row r="1" spans="1:10">
      <c r="A1" t="s">
        <v>2215</v>
      </c>
      <c r="E1" s="906" t="s">
        <v>2216</v>
      </c>
      <c r="F1" s="907"/>
      <c r="G1" s="907"/>
      <c r="H1" s="907"/>
      <c r="I1" s="907"/>
      <c r="J1" s="908"/>
    </row>
    <row r="2" spans="1:10">
      <c r="A2" t="s">
        <v>2217</v>
      </c>
      <c r="E2" t="s">
        <v>96</v>
      </c>
      <c r="F2" t="s">
        <v>2200</v>
      </c>
      <c r="G2" t="s">
        <v>503</v>
      </c>
      <c r="H2" t="s">
        <v>2206</v>
      </c>
      <c r="I2" t="s">
        <v>2218</v>
      </c>
      <c r="J2" t="s">
        <v>2219</v>
      </c>
    </row>
    <row r="3" spans="1:10">
      <c r="A3" t="s">
        <v>2220</v>
      </c>
      <c r="B3" s="344"/>
    </row>
    <row r="4" spans="1:10">
      <c r="A4" t="s">
        <v>2221</v>
      </c>
    </row>
    <row r="5" spans="1:10">
      <c r="A5" t="s">
        <v>2222</v>
      </c>
    </row>
    <row r="6" spans="1:10" ht="13.8" thickBot="1">
      <c r="A6" t="s">
        <v>2223</v>
      </c>
    </row>
    <row r="7" spans="1:10" ht="13.8" thickTop="1">
      <c r="A7" t="s">
        <v>2224</v>
      </c>
      <c r="C7" s="637" t="s">
        <v>2225</v>
      </c>
    </row>
    <row r="8" spans="1:10" ht="13.8" thickBot="1">
      <c r="A8" t="s">
        <v>2226</v>
      </c>
      <c r="C8" s="638">
        <v>10</v>
      </c>
    </row>
    <row r="9" spans="1:10" ht="14.4" thickTop="1" thickBot="1">
      <c r="A9" t="s">
        <v>2226</v>
      </c>
    </row>
    <row r="10" spans="1:10" ht="13.8" thickTop="1">
      <c r="A10" t="s">
        <v>2226</v>
      </c>
      <c r="C10" s="639" t="s">
        <v>2227</v>
      </c>
    </row>
    <row r="11" spans="1:10" ht="13.8" thickBot="1">
      <c r="A11" t="s">
        <v>2300</v>
      </c>
      <c r="C11" s="640" t="s">
        <v>2228</v>
      </c>
    </row>
    <row r="12" spans="1:10" ht="13.8" thickTop="1">
      <c r="A12" t="s">
        <v>2229</v>
      </c>
    </row>
    <row r="13" spans="1:10">
      <c r="A13" t="s">
        <v>2230</v>
      </c>
    </row>
    <row r="14" spans="1:10">
      <c r="A14" t="s">
        <v>2231</v>
      </c>
    </row>
    <row r="15" spans="1:10">
      <c r="A15" t="s">
        <v>2232</v>
      </c>
    </row>
    <row r="16" spans="1:10">
      <c r="A16" t="s">
        <v>2226</v>
      </c>
    </row>
    <row r="17" spans="1:1">
      <c r="A17" t="s">
        <v>2233</v>
      </c>
    </row>
    <row r="18" spans="1:1">
      <c r="A18" t="s">
        <v>2229</v>
      </c>
    </row>
    <row r="19" spans="1:1">
      <c r="A19" t="s">
        <v>2234</v>
      </c>
    </row>
    <row r="20" spans="1:1">
      <c r="A20" t="s">
        <v>2235</v>
      </c>
    </row>
    <row r="21" spans="1:1">
      <c r="A21" t="s">
        <v>2257</v>
      </c>
    </row>
    <row r="22" spans="1:1">
      <c r="A22" t="s">
        <v>2236</v>
      </c>
    </row>
    <row r="23" spans="1:1">
      <c r="A23" t="s">
        <v>2236</v>
      </c>
    </row>
    <row r="24" spans="1:1">
      <c r="A24" t="s">
        <v>2236</v>
      </c>
    </row>
    <row r="25" spans="1:1">
      <c r="A25" t="s">
        <v>2236</v>
      </c>
    </row>
    <row r="26" spans="1:1">
      <c r="A26" t="s">
        <v>2304</v>
      </c>
    </row>
    <row r="27" spans="1:1">
      <c r="A27" t="s">
        <v>2236</v>
      </c>
    </row>
    <row r="28" spans="1:1">
      <c r="A28" t="s">
        <v>2236</v>
      </c>
    </row>
    <row r="29" spans="1:1">
      <c r="A29" t="s">
        <v>2236</v>
      </c>
    </row>
    <row r="30" spans="1:1">
      <c r="A30" t="s">
        <v>2236</v>
      </c>
    </row>
    <row r="31" spans="1:1">
      <c r="A31" t="s">
        <v>2236</v>
      </c>
    </row>
    <row r="32" spans="1:1">
      <c r="A32" t="s">
        <v>2236</v>
      </c>
    </row>
    <row r="33" spans="1:1">
      <c r="A33" t="s">
        <v>2236</v>
      </c>
    </row>
    <row r="34" spans="1:1">
      <c r="A34" t="s">
        <v>2236</v>
      </c>
    </row>
    <row r="35" spans="1:1">
      <c r="A35" t="s">
        <v>2236</v>
      </c>
    </row>
    <row r="36" spans="1:1">
      <c r="A36" s="344" t="s">
        <v>2305</v>
      </c>
    </row>
    <row r="37" spans="1:1">
      <c r="A37" t="s">
        <v>2236</v>
      </c>
    </row>
    <row r="38" spans="1:1">
      <c r="A38" t="s">
        <v>2236</v>
      </c>
    </row>
    <row r="39" spans="1:1">
      <c r="A39" t="s">
        <v>2306</v>
      </c>
    </row>
    <row r="40" spans="1:1">
      <c r="A40" t="s">
        <v>2238</v>
      </c>
    </row>
    <row r="41" spans="1:1">
      <c r="A41" t="s">
        <v>2234</v>
      </c>
    </row>
    <row r="42" spans="1:1">
      <c r="A42" t="s">
        <v>2231</v>
      </c>
    </row>
    <row r="43" spans="1:1">
      <c r="A43" t="s">
        <v>2269</v>
      </c>
    </row>
    <row r="44" spans="1:1">
      <c r="A44" t="s">
        <v>2226</v>
      </c>
    </row>
    <row r="45" spans="1:1">
      <c r="A45" t="s">
        <v>2233</v>
      </c>
    </row>
    <row r="46" spans="1:1">
      <c r="A46" t="s">
        <v>2229</v>
      </c>
    </row>
    <row r="47" spans="1:1">
      <c r="A47" t="s">
        <v>2234</v>
      </c>
    </row>
    <row r="48" spans="1:1">
      <c r="A48" t="s">
        <v>2249</v>
      </c>
    </row>
    <row r="49" spans="1:1">
      <c r="A49" t="s">
        <v>2236</v>
      </c>
    </row>
    <row r="50" spans="1:1">
      <c r="A50" t="s">
        <v>2236</v>
      </c>
    </row>
    <row r="51" spans="1:1">
      <c r="A51" t="s">
        <v>2236</v>
      </c>
    </row>
    <row r="52" spans="1:1">
      <c r="A52" t="s">
        <v>2236</v>
      </c>
    </row>
    <row r="53" spans="1:1">
      <c r="A53" t="s">
        <v>2236</v>
      </c>
    </row>
    <row r="54" spans="1:1">
      <c r="A54" t="s">
        <v>2236</v>
      </c>
    </row>
    <row r="55" spans="1:1">
      <c r="A55" t="s">
        <v>2307</v>
      </c>
    </row>
    <row r="56" spans="1:1">
      <c r="A56" t="s">
        <v>2236</v>
      </c>
    </row>
    <row r="57" spans="1:1">
      <c r="A57" t="s">
        <v>2236</v>
      </c>
    </row>
    <row r="58" spans="1:1">
      <c r="A58" t="s">
        <v>2236</v>
      </c>
    </row>
    <row r="59" spans="1:1">
      <c r="A59" t="s">
        <v>2236</v>
      </c>
    </row>
    <row r="60" spans="1:1">
      <c r="A60" t="s">
        <v>2236</v>
      </c>
    </row>
    <row r="61" spans="1:1">
      <c r="A61" t="s">
        <v>2236</v>
      </c>
    </row>
    <row r="62" spans="1:1">
      <c r="A62" t="s">
        <v>2236</v>
      </c>
    </row>
    <row r="63" spans="1:1">
      <c r="A63" t="s">
        <v>2236</v>
      </c>
    </row>
    <row r="64" spans="1:1">
      <c r="A64" t="s">
        <v>2236</v>
      </c>
    </row>
    <row r="65" spans="1:1">
      <c r="A65" t="s">
        <v>2308</v>
      </c>
    </row>
    <row r="66" spans="1:1">
      <c r="A66" t="s">
        <v>2236</v>
      </c>
    </row>
    <row r="67" spans="1:1">
      <c r="A67" t="s">
        <v>2236</v>
      </c>
    </row>
    <row r="68" spans="1:1">
      <c r="A68" t="s">
        <v>2309</v>
      </c>
    </row>
    <row r="69" spans="1:1">
      <c r="A69" t="s">
        <v>2238</v>
      </c>
    </row>
    <row r="70" spans="1:1">
      <c r="A70" t="s">
        <v>2234</v>
      </c>
    </row>
    <row r="71" spans="1:1">
      <c r="A71" t="s">
        <v>2231</v>
      </c>
    </row>
    <row r="72" spans="1:1">
      <c r="A72" t="s">
        <v>2239</v>
      </c>
    </row>
    <row r="73" spans="1:1">
      <c r="A73" t="s">
        <v>2226</v>
      </c>
    </row>
    <row r="74" spans="1:1">
      <c r="A74" t="s">
        <v>2226</v>
      </c>
    </row>
    <row r="75" spans="1:1">
      <c r="A75" t="s">
        <v>2226</v>
      </c>
    </row>
    <row r="76" spans="1:1">
      <c r="A76" t="s">
        <v>2301</v>
      </c>
    </row>
    <row r="77" spans="1:1">
      <c r="A77" t="s">
        <v>2229</v>
      </c>
    </row>
    <row r="78" spans="1:1">
      <c r="A78" t="s">
        <v>2230</v>
      </c>
    </row>
    <row r="79" spans="1:1">
      <c r="A79" t="s">
        <v>2231</v>
      </c>
    </row>
    <row r="80" spans="1:1">
      <c r="A80" t="s">
        <v>2240</v>
      </c>
    </row>
    <row r="81" spans="1:1">
      <c r="A81" t="s">
        <v>2226</v>
      </c>
    </row>
    <row r="82" spans="1:1">
      <c r="A82" t="s">
        <v>2233</v>
      </c>
    </row>
    <row r="83" spans="1:1">
      <c r="A83" t="s">
        <v>2229</v>
      </c>
    </row>
    <row r="84" spans="1:1">
      <c r="A84" t="s">
        <v>2234</v>
      </c>
    </row>
    <row r="85" spans="1:1">
      <c r="A85" t="s">
        <v>2235</v>
      </c>
    </row>
    <row r="86" spans="1:1">
      <c r="A86" t="s">
        <v>2310</v>
      </c>
    </row>
    <row r="87" spans="1:1">
      <c r="A87" t="s">
        <v>2236</v>
      </c>
    </row>
    <row r="88" spans="1:1">
      <c r="A88" t="s">
        <v>2236</v>
      </c>
    </row>
    <row r="89" spans="1:1">
      <c r="A89" t="s">
        <v>2236</v>
      </c>
    </row>
    <row r="90" spans="1:1">
      <c r="A90" t="s">
        <v>2236</v>
      </c>
    </row>
    <row r="91" spans="1:1">
      <c r="A91" t="s">
        <v>2304</v>
      </c>
    </row>
    <row r="92" spans="1:1">
      <c r="A92" t="s">
        <v>2236</v>
      </c>
    </row>
    <row r="93" spans="1:1">
      <c r="A93" t="s">
        <v>2236</v>
      </c>
    </row>
    <row r="94" spans="1:1">
      <c r="A94" t="s">
        <v>2236</v>
      </c>
    </row>
    <row r="95" spans="1:1">
      <c r="A95" t="s">
        <v>2236</v>
      </c>
    </row>
    <row r="96" spans="1:1">
      <c r="A96" t="s">
        <v>2236</v>
      </c>
    </row>
    <row r="97" spans="1:1">
      <c r="A97" t="s">
        <v>2236</v>
      </c>
    </row>
    <row r="98" spans="1:1">
      <c r="A98" t="s">
        <v>2236</v>
      </c>
    </row>
    <row r="99" spans="1:1">
      <c r="A99" t="s">
        <v>2236</v>
      </c>
    </row>
    <row r="100" spans="1:1">
      <c r="A100" t="s">
        <v>2236</v>
      </c>
    </row>
    <row r="101" spans="1:1">
      <c r="A101" t="s">
        <v>2311</v>
      </c>
    </row>
    <row r="102" spans="1:1">
      <c r="A102" t="s">
        <v>2236</v>
      </c>
    </row>
    <row r="103" spans="1:1">
      <c r="A103" t="s">
        <v>2236</v>
      </c>
    </row>
    <row r="104" spans="1:1">
      <c r="A104" t="s">
        <v>2312</v>
      </c>
    </row>
    <row r="105" spans="1:1">
      <c r="A105" t="s">
        <v>2238</v>
      </c>
    </row>
    <row r="106" spans="1:1">
      <c r="A106" t="s">
        <v>2234</v>
      </c>
    </row>
    <row r="107" spans="1:1">
      <c r="A107" t="s">
        <v>2231</v>
      </c>
    </row>
    <row r="108" spans="1:1">
      <c r="A108" t="s">
        <v>2241</v>
      </c>
    </row>
    <row r="109" spans="1:1">
      <c r="A109" t="s">
        <v>2226</v>
      </c>
    </row>
    <row r="110" spans="1:1">
      <c r="A110" t="s">
        <v>2233</v>
      </c>
    </row>
    <row r="111" spans="1:1">
      <c r="A111" t="s">
        <v>2229</v>
      </c>
    </row>
    <row r="112" spans="1:1">
      <c r="A112" t="s">
        <v>2234</v>
      </c>
    </row>
    <row r="113" spans="1:1">
      <c r="A113" t="s">
        <v>2235</v>
      </c>
    </row>
    <row r="114" spans="1:1">
      <c r="A114" t="s">
        <v>2313</v>
      </c>
    </row>
    <row r="115" spans="1:1">
      <c r="A115" t="s">
        <v>2236</v>
      </c>
    </row>
    <row r="116" spans="1:1">
      <c r="A116" t="s">
        <v>2236</v>
      </c>
    </row>
    <row r="117" spans="1:1">
      <c r="A117" t="s">
        <v>2236</v>
      </c>
    </row>
    <row r="118" spans="1:1">
      <c r="A118" t="s">
        <v>2236</v>
      </c>
    </row>
    <row r="119" spans="1:1">
      <c r="A119" t="s">
        <v>2304</v>
      </c>
    </row>
    <row r="120" spans="1:1">
      <c r="A120" t="s">
        <v>2236</v>
      </c>
    </row>
    <row r="121" spans="1:1">
      <c r="A121" t="s">
        <v>2236</v>
      </c>
    </row>
    <row r="122" spans="1:1">
      <c r="A122" t="s">
        <v>2236</v>
      </c>
    </row>
    <row r="123" spans="1:1">
      <c r="A123" t="s">
        <v>2236</v>
      </c>
    </row>
    <row r="124" spans="1:1">
      <c r="A124" t="s">
        <v>2236</v>
      </c>
    </row>
    <row r="125" spans="1:1">
      <c r="A125" t="s">
        <v>2236</v>
      </c>
    </row>
    <row r="126" spans="1:1">
      <c r="A126" t="s">
        <v>2236</v>
      </c>
    </row>
    <row r="127" spans="1:1">
      <c r="A127" t="s">
        <v>2236</v>
      </c>
    </row>
    <row r="128" spans="1:1">
      <c r="A128" t="s">
        <v>2236</v>
      </c>
    </row>
    <row r="129" spans="1:1">
      <c r="A129" t="s">
        <v>2314</v>
      </c>
    </row>
    <row r="130" spans="1:1">
      <c r="A130" t="s">
        <v>2236</v>
      </c>
    </row>
    <row r="131" spans="1:1">
      <c r="A131" t="s">
        <v>2236</v>
      </c>
    </row>
    <row r="132" spans="1:1">
      <c r="A132" t="s">
        <v>2315</v>
      </c>
    </row>
    <row r="133" spans="1:1">
      <c r="A133" t="s">
        <v>2238</v>
      </c>
    </row>
    <row r="134" spans="1:1">
      <c r="A134" t="s">
        <v>2234</v>
      </c>
    </row>
    <row r="135" spans="1:1">
      <c r="A135" t="s">
        <v>2231</v>
      </c>
    </row>
    <row r="136" spans="1:1">
      <c r="A136" t="s">
        <v>2242</v>
      </c>
    </row>
    <row r="137" spans="1:1">
      <c r="A137" t="s">
        <v>2226</v>
      </c>
    </row>
    <row r="138" spans="1:1">
      <c r="A138" t="s">
        <v>2233</v>
      </c>
    </row>
    <row r="139" spans="1:1">
      <c r="A139" t="s">
        <v>2229</v>
      </c>
    </row>
    <row r="140" spans="1:1">
      <c r="A140" t="s">
        <v>2234</v>
      </c>
    </row>
    <row r="141" spans="1:1">
      <c r="A141" t="s">
        <v>2249</v>
      </c>
    </row>
    <row r="142" spans="1:1">
      <c r="A142" t="s">
        <v>2236</v>
      </c>
    </row>
    <row r="143" spans="1:1">
      <c r="A143" t="s">
        <v>2236</v>
      </c>
    </row>
    <row r="144" spans="1:1">
      <c r="A144" t="s">
        <v>2236</v>
      </c>
    </row>
    <row r="145" spans="1:1">
      <c r="A145" t="s">
        <v>2236</v>
      </c>
    </row>
    <row r="146" spans="1:1">
      <c r="A146" t="s">
        <v>2236</v>
      </c>
    </row>
    <row r="147" spans="1:1">
      <c r="A147" t="s">
        <v>2236</v>
      </c>
    </row>
    <row r="148" spans="1:1">
      <c r="A148" t="s">
        <v>2307</v>
      </c>
    </row>
    <row r="149" spans="1:1">
      <c r="A149" t="s">
        <v>2236</v>
      </c>
    </row>
    <row r="150" spans="1:1">
      <c r="A150" t="s">
        <v>2236</v>
      </c>
    </row>
    <row r="151" spans="1:1">
      <c r="A151" t="s">
        <v>2236</v>
      </c>
    </row>
    <row r="152" spans="1:1">
      <c r="A152" t="s">
        <v>2236</v>
      </c>
    </row>
    <row r="153" spans="1:1">
      <c r="A153" t="s">
        <v>2236</v>
      </c>
    </row>
    <row r="154" spans="1:1">
      <c r="A154" t="s">
        <v>2236</v>
      </c>
    </row>
    <row r="155" spans="1:1">
      <c r="A155" t="s">
        <v>2236</v>
      </c>
    </row>
    <row r="156" spans="1:1">
      <c r="A156" t="s">
        <v>2236</v>
      </c>
    </row>
    <row r="157" spans="1:1">
      <c r="A157" t="s">
        <v>2236</v>
      </c>
    </row>
    <row r="158" spans="1:1">
      <c r="A158" t="s">
        <v>2316</v>
      </c>
    </row>
    <row r="159" spans="1:1">
      <c r="A159" t="s">
        <v>2236</v>
      </c>
    </row>
    <row r="160" spans="1:1">
      <c r="A160" t="s">
        <v>2236</v>
      </c>
    </row>
    <row r="161" spans="1:1">
      <c r="A161" t="s">
        <v>2317</v>
      </c>
    </row>
    <row r="162" spans="1:1">
      <c r="A162" t="s">
        <v>2238</v>
      </c>
    </row>
    <row r="163" spans="1:1">
      <c r="A163" t="s">
        <v>2234</v>
      </c>
    </row>
    <row r="164" spans="1:1">
      <c r="A164" t="s">
        <v>2231</v>
      </c>
    </row>
    <row r="165" spans="1:1">
      <c r="A165" t="s">
        <v>2260</v>
      </c>
    </row>
    <row r="166" spans="1:1">
      <c r="A166" t="s">
        <v>2226</v>
      </c>
    </row>
    <row r="167" spans="1:1">
      <c r="A167" t="s">
        <v>2226</v>
      </c>
    </row>
    <row r="168" spans="1:1">
      <c r="A168" t="s">
        <v>2226</v>
      </c>
    </row>
    <row r="169" spans="1:1">
      <c r="A169" t="s">
        <v>2302</v>
      </c>
    </row>
    <row r="170" spans="1:1">
      <c r="A170" t="s">
        <v>2229</v>
      </c>
    </row>
    <row r="171" spans="1:1">
      <c r="A171" t="s">
        <v>2230</v>
      </c>
    </row>
    <row r="172" spans="1:1">
      <c r="A172" t="s">
        <v>2231</v>
      </c>
    </row>
    <row r="173" spans="1:1">
      <c r="A173" t="s">
        <v>2243</v>
      </c>
    </row>
    <row r="174" spans="1:1">
      <c r="A174" t="s">
        <v>2226</v>
      </c>
    </row>
    <row r="175" spans="1:1">
      <c r="A175" t="s">
        <v>2233</v>
      </c>
    </row>
    <row r="176" spans="1:1">
      <c r="A176" t="s">
        <v>2229</v>
      </c>
    </row>
    <row r="177" spans="1:1">
      <c r="A177" t="s">
        <v>2234</v>
      </c>
    </row>
    <row r="178" spans="1:1">
      <c r="A178" t="s">
        <v>2235</v>
      </c>
    </row>
    <row r="179" spans="1:1">
      <c r="A179" t="s">
        <v>2318</v>
      </c>
    </row>
    <row r="180" spans="1:1">
      <c r="A180" t="s">
        <v>2236</v>
      </c>
    </row>
    <row r="181" spans="1:1">
      <c r="A181" t="s">
        <v>2236</v>
      </c>
    </row>
    <row r="182" spans="1:1">
      <c r="A182" t="s">
        <v>2236</v>
      </c>
    </row>
    <row r="183" spans="1:1">
      <c r="A183" t="s">
        <v>2236</v>
      </c>
    </row>
    <row r="184" spans="1:1">
      <c r="A184" t="s">
        <v>2319</v>
      </c>
    </row>
    <row r="185" spans="1:1">
      <c r="A185" t="s">
        <v>2236</v>
      </c>
    </row>
    <row r="186" spans="1:1">
      <c r="A186" t="s">
        <v>2236</v>
      </c>
    </row>
    <row r="187" spans="1:1">
      <c r="A187" t="s">
        <v>2236</v>
      </c>
    </row>
    <row r="188" spans="1:1">
      <c r="A188" t="s">
        <v>2236</v>
      </c>
    </row>
    <row r="189" spans="1:1">
      <c r="A189" t="s">
        <v>2236</v>
      </c>
    </row>
    <row r="190" spans="1:1">
      <c r="A190" t="s">
        <v>2236</v>
      </c>
    </row>
    <row r="191" spans="1:1">
      <c r="A191" t="s">
        <v>2236</v>
      </c>
    </row>
    <row r="192" spans="1:1">
      <c r="A192" t="s">
        <v>2236</v>
      </c>
    </row>
    <row r="193" spans="1:1">
      <c r="A193" t="s">
        <v>2236</v>
      </c>
    </row>
    <row r="194" spans="1:1">
      <c r="A194" t="s">
        <v>2320</v>
      </c>
    </row>
    <row r="195" spans="1:1">
      <c r="A195" t="s">
        <v>2236</v>
      </c>
    </row>
    <row r="196" spans="1:1">
      <c r="A196" t="s">
        <v>2236</v>
      </c>
    </row>
    <row r="197" spans="1:1">
      <c r="A197" t="s">
        <v>2321</v>
      </c>
    </row>
    <row r="198" spans="1:1">
      <c r="A198" t="s">
        <v>2238</v>
      </c>
    </row>
    <row r="199" spans="1:1">
      <c r="A199" t="s">
        <v>2234</v>
      </c>
    </row>
    <row r="200" spans="1:1">
      <c r="A200" t="s">
        <v>2231</v>
      </c>
    </row>
    <row r="201" spans="1:1">
      <c r="A201" t="s">
        <v>2244</v>
      </c>
    </row>
    <row r="202" spans="1:1">
      <c r="A202" t="s">
        <v>2226</v>
      </c>
    </row>
    <row r="203" spans="1:1">
      <c r="A203" t="s">
        <v>2233</v>
      </c>
    </row>
    <row r="204" spans="1:1">
      <c r="A204" t="s">
        <v>2229</v>
      </c>
    </row>
    <row r="205" spans="1:1">
      <c r="A205" t="s">
        <v>2234</v>
      </c>
    </row>
    <row r="206" spans="1:1">
      <c r="A206" t="s">
        <v>2235</v>
      </c>
    </row>
    <row r="207" spans="1:1">
      <c r="A207" t="s">
        <v>2322</v>
      </c>
    </row>
    <row r="208" spans="1:1">
      <c r="A208" t="s">
        <v>2236</v>
      </c>
    </row>
    <row r="209" spans="1:1">
      <c r="A209" t="s">
        <v>2236</v>
      </c>
    </row>
    <row r="210" spans="1:1">
      <c r="A210" t="s">
        <v>2236</v>
      </c>
    </row>
    <row r="211" spans="1:1">
      <c r="A211" t="s">
        <v>2236</v>
      </c>
    </row>
    <row r="212" spans="1:1">
      <c r="A212" t="s">
        <v>2319</v>
      </c>
    </row>
    <row r="213" spans="1:1">
      <c r="A213" t="s">
        <v>2236</v>
      </c>
    </row>
    <row r="214" spans="1:1">
      <c r="A214" t="s">
        <v>2236</v>
      </c>
    </row>
    <row r="215" spans="1:1">
      <c r="A215" t="s">
        <v>2236</v>
      </c>
    </row>
    <row r="216" spans="1:1">
      <c r="A216" t="s">
        <v>2236</v>
      </c>
    </row>
    <row r="217" spans="1:1">
      <c r="A217" t="s">
        <v>2236</v>
      </c>
    </row>
    <row r="218" spans="1:1">
      <c r="A218" t="s">
        <v>2236</v>
      </c>
    </row>
    <row r="219" spans="1:1">
      <c r="A219" t="s">
        <v>2236</v>
      </c>
    </row>
    <row r="220" spans="1:1">
      <c r="A220" t="s">
        <v>2236</v>
      </c>
    </row>
    <row r="221" spans="1:1">
      <c r="A221" t="s">
        <v>2236</v>
      </c>
    </row>
    <row r="222" spans="1:1">
      <c r="A222" t="s">
        <v>2323</v>
      </c>
    </row>
    <row r="223" spans="1:1">
      <c r="A223" t="s">
        <v>2236</v>
      </c>
    </row>
    <row r="224" spans="1:1">
      <c r="A224" t="s">
        <v>2236</v>
      </c>
    </row>
    <row r="225" spans="1:1">
      <c r="A225" t="s">
        <v>2324</v>
      </c>
    </row>
    <row r="226" spans="1:1">
      <c r="A226" t="s">
        <v>2238</v>
      </c>
    </row>
    <row r="227" spans="1:1">
      <c r="A227" t="s">
        <v>2234</v>
      </c>
    </row>
    <row r="228" spans="1:1">
      <c r="A228" t="s">
        <v>2231</v>
      </c>
    </row>
    <row r="229" spans="1:1">
      <c r="A229" t="s">
        <v>2245</v>
      </c>
    </row>
    <row r="230" spans="1:1">
      <c r="A230" t="s">
        <v>2226</v>
      </c>
    </row>
    <row r="231" spans="1:1">
      <c r="A231" t="s">
        <v>2226</v>
      </c>
    </row>
    <row r="232" spans="1:1">
      <c r="A232" t="s">
        <v>2226</v>
      </c>
    </row>
    <row r="233" spans="1:1">
      <c r="A233" t="s">
        <v>2303</v>
      </c>
    </row>
    <row r="234" spans="1:1">
      <c r="A234" t="s">
        <v>2229</v>
      </c>
    </row>
    <row r="235" spans="1:1">
      <c r="A235" t="s">
        <v>2230</v>
      </c>
    </row>
    <row r="236" spans="1:1">
      <c r="A236" t="s">
        <v>2231</v>
      </c>
    </row>
    <row r="237" spans="1:1">
      <c r="A237" t="s">
        <v>2263</v>
      </c>
    </row>
    <row r="238" spans="1:1">
      <c r="A238" t="s">
        <v>2226</v>
      </c>
    </row>
    <row r="239" spans="1:1">
      <c r="A239" t="s">
        <v>2233</v>
      </c>
    </row>
    <row r="240" spans="1:1">
      <c r="A240" t="s">
        <v>2229</v>
      </c>
    </row>
    <row r="241" spans="1:1">
      <c r="A241" t="s">
        <v>2234</v>
      </c>
    </row>
    <row r="242" spans="1:1">
      <c r="A242" t="s">
        <v>2235</v>
      </c>
    </row>
    <row r="243" spans="1:1">
      <c r="A243" t="s">
        <v>2325</v>
      </c>
    </row>
    <row r="244" spans="1:1">
      <c r="A244" t="s">
        <v>2236</v>
      </c>
    </row>
    <row r="245" spans="1:1">
      <c r="A245" t="s">
        <v>2236</v>
      </c>
    </row>
    <row r="246" spans="1:1">
      <c r="A246" t="s">
        <v>2236</v>
      </c>
    </row>
    <row r="247" spans="1:1">
      <c r="A247" t="s">
        <v>2236</v>
      </c>
    </row>
    <row r="248" spans="1:1">
      <c r="A248" t="s">
        <v>2326</v>
      </c>
    </row>
    <row r="249" spans="1:1">
      <c r="A249" t="s">
        <v>2236</v>
      </c>
    </row>
    <row r="250" spans="1:1">
      <c r="A250" t="s">
        <v>2236</v>
      </c>
    </row>
    <row r="251" spans="1:1">
      <c r="A251" t="s">
        <v>2236</v>
      </c>
    </row>
    <row r="252" spans="1:1">
      <c r="A252" t="s">
        <v>2236</v>
      </c>
    </row>
    <row r="253" spans="1:1">
      <c r="A253" t="s">
        <v>2236</v>
      </c>
    </row>
    <row r="254" spans="1:1">
      <c r="A254" t="s">
        <v>2236</v>
      </c>
    </row>
    <row r="255" spans="1:1">
      <c r="A255" t="s">
        <v>2236</v>
      </c>
    </row>
    <row r="256" spans="1:1">
      <c r="A256" t="s">
        <v>2236</v>
      </c>
    </row>
    <row r="257" spans="1:1">
      <c r="A257" t="s">
        <v>2236</v>
      </c>
    </row>
    <row r="258" spans="1:1">
      <c r="A258" t="s">
        <v>2327</v>
      </c>
    </row>
    <row r="259" spans="1:1">
      <c r="A259" t="s">
        <v>2236</v>
      </c>
    </row>
    <row r="260" spans="1:1">
      <c r="A260" t="s">
        <v>2236</v>
      </c>
    </row>
    <row r="261" spans="1:1">
      <c r="A261" t="s">
        <v>2328</v>
      </c>
    </row>
    <row r="262" spans="1:1">
      <c r="A262" t="s">
        <v>2238</v>
      </c>
    </row>
    <row r="263" spans="1:1">
      <c r="A263" t="s">
        <v>2234</v>
      </c>
    </row>
    <row r="264" spans="1:1">
      <c r="A264" t="s">
        <v>2231</v>
      </c>
    </row>
    <row r="265" spans="1:1">
      <c r="A265" t="s">
        <v>2246</v>
      </c>
    </row>
    <row r="266" spans="1:1">
      <c r="A266" t="s">
        <v>2226</v>
      </c>
    </row>
    <row r="267" spans="1:1">
      <c r="A267" t="s">
        <v>2233</v>
      </c>
    </row>
    <row r="268" spans="1:1">
      <c r="A268" t="s">
        <v>2229</v>
      </c>
    </row>
    <row r="269" spans="1:1">
      <c r="A269" t="s">
        <v>2234</v>
      </c>
    </row>
    <row r="270" spans="1:1">
      <c r="A270" t="s">
        <v>2235</v>
      </c>
    </row>
    <row r="271" spans="1:1">
      <c r="A271" t="s">
        <v>2329</v>
      </c>
    </row>
    <row r="272" spans="1:1">
      <c r="A272" t="s">
        <v>2236</v>
      </c>
    </row>
    <row r="273" spans="1:1">
      <c r="A273" t="s">
        <v>2236</v>
      </c>
    </row>
    <row r="274" spans="1:1">
      <c r="A274" t="s">
        <v>2236</v>
      </c>
    </row>
    <row r="275" spans="1:1">
      <c r="A275" t="s">
        <v>2236</v>
      </c>
    </row>
    <row r="276" spans="1:1">
      <c r="A276" t="s">
        <v>2326</v>
      </c>
    </row>
    <row r="277" spans="1:1">
      <c r="A277" t="s">
        <v>2236</v>
      </c>
    </row>
    <row r="278" spans="1:1">
      <c r="A278" t="s">
        <v>2236</v>
      </c>
    </row>
    <row r="279" spans="1:1">
      <c r="A279" t="s">
        <v>2236</v>
      </c>
    </row>
    <row r="280" spans="1:1">
      <c r="A280" t="s">
        <v>2236</v>
      </c>
    </row>
    <row r="281" spans="1:1">
      <c r="A281" t="s">
        <v>2236</v>
      </c>
    </row>
    <row r="282" spans="1:1">
      <c r="A282" t="s">
        <v>2236</v>
      </c>
    </row>
    <row r="283" spans="1:1">
      <c r="A283" t="s">
        <v>2236</v>
      </c>
    </row>
    <row r="284" spans="1:1">
      <c r="A284" t="s">
        <v>2236</v>
      </c>
    </row>
    <row r="285" spans="1:1">
      <c r="A285" t="s">
        <v>2236</v>
      </c>
    </row>
    <row r="286" spans="1:1">
      <c r="A286" t="s">
        <v>2330</v>
      </c>
    </row>
    <row r="287" spans="1:1">
      <c r="A287" t="s">
        <v>2236</v>
      </c>
    </row>
    <row r="288" spans="1:1">
      <c r="A288" t="s">
        <v>2236</v>
      </c>
    </row>
    <row r="289" spans="1:1">
      <c r="A289" t="s">
        <v>2331</v>
      </c>
    </row>
    <row r="290" spans="1:1">
      <c r="A290" t="s">
        <v>2238</v>
      </c>
    </row>
    <row r="291" spans="1:1">
      <c r="A291" t="s">
        <v>2234</v>
      </c>
    </row>
    <row r="292" spans="1:1">
      <c r="A292" t="s">
        <v>2231</v>
      </c>
    </row>
    <row r="293" spans="1:1">
      <c r="A293" t="s">
        <v>2247</v>
      </c>
    </row>
    <row r="294" spans="1:1">
      <c r="A294" t="s">
        <v>2226</v>
      </c>
    </row>
    <row r="295" spans="1:1">
      <c r="A295" t="s">
        <v>2233</v>
      </c>
    </row>
    <row r="296" spans="1:1">
      <c r="A296" t="s">
        <v>2229</v>
      </c>
    </row>
    <row r="297" spans="1:1">
      <c r="A297" t="s">
        <v>2234</v>
      </c>
    </row>
    <row r="298" spans="1:1">
      <c r="A298" t="s">
        <v>2235</v>
      </c>
    </row>
    <row r="299" spans="1:1">
      <c r="A299" t="s">
        <v>2332</v>
      </c>
    </row>
    <row r="300" spans="1:1">
      <c r="A300" t="s">
        <v>2236</v>
      </c>
    </row>
    <row r="301" spans="1:1">
      <c r="A301" t="s">
        <v>2236</v>
      </c>
    </row>
    <row r="302" spans="1:1">
      <c r="A302" t="s">
        <v>2236</v>
      </c>
    </row>
    <row r="303" spans="1:1">
      <c r="A303" t="s">
        <v>2236</v>
      </c>
    </row>
    <row r="304" spans="1:1">
      <c r="A304" t="s">
        <v>2326</v>
      </c>
    </row>
    <row r="305" spans="1:1">
      <c r="A305" t="s">
        <v>2236</v>
      </c>
    </row>
    <row r="306" spans="1:1">
      <c r="A306" t="s">
        <v>2236</v>
      </c>
    </row>
    <row r="307" spans="1:1">
      <c r="A307" t="s">
        <v>2236</v>
      </c>
    </row>
    <row r="308" spans="1:1">
      <c r="A308" t="s">
        <v>2236</v>
      </c>
    </row>
    <row r="309" spans="1:1">
      <c r="A309" t="s">
        <v>2236</v>
      </c>
    </row>
    <row r="310" spans="1:1">
      <c r="A310" t="s">
        <v>2236</v>
      </c>
    </row>
    <row r="311" spans="1:1">
      <c r="A311" t="s">
        <v>2236</v>
      </c>
    </row>
    <row r="312" spans="1:1">
      <c r="A312" t="s">
        <v>2236</v>
      </c>
    </row>
    <row r="313" spans="1:1">
      <c r="A313" t="s">
        <v>2236</v>
      </c>
    </row>
    <row r="314" spans="1:1">
      <c r="A314" t="s">
        <v>2262</v>
      </c>
    </row>
    <row r="315" spans="1:1">
      <c r="A315" t="s">
        <v>2236</v>
      </c>
    </row>
    <row r="316" spans="1:1">
      <c r="A316" t="s">
        <v>2236</v>
      </c>
    </row>
    <row r="317" spans="1:1">
      <c r="A317" t="s">
        <v>2333</v>
      </c>
    </row>
    <row r="318" spans="1:1">
      <c r="A318" t="s">
        <v>2238</v>
      </c>
    </row>
    <row r="319" spans="1:1">
      <c r="A319" t="s">
        <v>2234</v>
      </c>
    </row>
    <row r="320" spans="1:1">
      <c r="A320" t="s">
        <v>2231</v>
      </c>
    </row>
    <row r="321" spans="1:1">
      <c r="A321" t="s">
        <v>2248</v>
      </c>
    </row>
    <row r="322" spans="1:1">
      <c r="A322" t="s">
        <v>2226</v>
      </c>
    </row>
    <row r="323" spans="1:1">
      <c r="A323" t="s">
        <v>2233</v>
      </c>
    </row>
    <row r="324" spans="1:1">
      <c r="A324" t="s">
        <v>2229</v>
      </c>
    </row>
    <row r="325" spans="1:1">
      <c r="A325" t="s">
        <v>2234</v>
      </c>
    </row>
    <row r="326" spans="1:1">
      <c r="A326" t="s">
        <v>2235</v>
      </c>
    </row>
    <row r="327" spans="1:1">
      <c r="A327" t="s">
        <v>2334</v>
      </c>
    </row>
    <row r="328" spans="1:1">
      <c r="A328" t="s">
        <v>2236</v>
      </c>
    </row>
    <row r="329" spans="1:1">
      <c r="A329" t="s">
        <v>2236</v>
      </c>
    </row>
    <row r="330" spans="1:1">
      <c r="A330" t="s">
        <v>2236</v>
      </c>
    </row>
    <row r="331" spans="1:1">
      <c r="A331" t="s">
        <v>2236</v>
      </c>
    </row>
    <row r="332" spans="1:1">
      <c r="A332" t="s">
        <v>2335</v>
      </c>
    </row>
    <row r="333" spans="1:1">
      <c r="A333" t="s">
        <v>2236</v>
      </c>
    </row>
    <row r="334" spans="1:1">
      <c r="A334" t="s">
        <v>2236</v>
      </c>
    </row>
    <row r="335" spans="1:1">
      <c r="A335" t="s">
        <v>2236</v>
      </c>
    </row>
    <row r="336" spans="1:1">
      <c r="A336" t="s">
        <v>2236</v>
      </c>
    </row>
    <row r="337" spans="1:1">
      <c r="A337" t="s">
        <v>2236</v>
      </c>
    </row>
    <row r="338" spans="1:1">
      <c r="A338" t="s">
        <v>2236</v>
      </c>
    </row>
    <row r="339" spans="1:1">
      <c r="A339" t="s">
        <v>2236</v>
      </c>
    </row>
    <row r="340" spans="1:1">
      <c r="A340" t="s">
        <v>2236</v>
      </c>
    </row>
    <row r="341" spans="1:1">
      <c r="A341" t="s">
        <v>2236</v>
      </c>
    </row>
    <row r="342" spans="1:1">
      <c r="A342" t="s">
        <v>2252</v>
      </c>
    </row>
    <row r="343" spans="1:1">
      <c r="A343" t="s">
        <v>2236</v>
      </c>
    </row>
    <row r="344" spans="1:1">
      <c r="A344" t="s">
        <v>2236</v>
      </c>
    </row>
    <row r="345" spans="1:1">
      <c r="A345" t="s">
        <v>2261</v>
      </c>
    </row>
    <row r="346" spans="1:1">
      <c r="A346" t="s">
        <v>2238</v>
      </c>
    </row>
    <row r="347" spans="1:1">
      <c r="A347" t="s">
        <v>2234</v>
      </c>
    </row>
    <row r="348" spans="1:1">
      <c r="A348" t="s">
        <v>2231</v>
      </c>
    </row>
    <row r="349" spans="1:1">
      <c r="A349" t="s">
        <v>2250</v>
      </c>
    </row>
    <row r="350" spans="1:1">
      <c r="A350" t="s">
        <v>2226</v>
      </c>
    </row>
    <row r="351" spans="1:1">
      <c r="A351" t="s">
        <v>2233</v>
      </c>
    </row>
    <row r="352" spans="1:1">
      <c r="A352" t="s">
        <v>2229</v>
      </c>
    </row>
    <row r="353" spans="1:1">
      <c r="A353" t="s">
        <v>2234</v>
      </c>
    </row>
    <row r="354" spans="1:1">
      <c r="A354" t="s">
        <v>2235</v>
      </c>
    </row>
    <row r="355" spans="1:1">
      <c r="A355" t="s">
        <v>2336</v>
      </c>
    </row>
    <row r="356" spans="1:1">
      <c r="A356" t="s">
        <v>2236</v>
      </c>
    </row>
    <row r="357" spans="1:1">
      <c r="A357" t="s">
        <v>2236</v>
      </c>
    </row>
    <row r="358" spans="1:1">
      <c r="A358" t="s">
        <v>2236</v>
      </c>
    </row>
    <row r="359" spans="1:1">
      <c r="A359" t="s">
        <v>2236</v>
      </c>
    </row>
    <row r="360" spans="1:1">
      <c r="A360" t="s">
        <v>2335</v>
      </c>
    </row>
    <row r="361" spans="1:1">
      <c r="A361" t="s">
        <v>2236</v>
      </c>
    </row>
    <row r="362" spans="1:1">
      <c r="A362" t="s">
        <v>2236</v>
      </c>
    </row>
    <row r="363" spans="1:1">
      <c r="A363" t="s">
        <v>2236</v>
      </c>
    </row>
    <row r="364" spans="1:1">
      <c r="A364" t="s">
        <v>2236</v>
      </c>
    </row>
    <row r="365" spans="1:1">
      <c r="A365" t="s">
        <v>2236</v>
      </c>
    </row>
    <row r="366" spans="1:1">
      <c r="A366" t="s">
        <v>2236</v>
      </c>
    </row>
    <row r="367" spans="1:1">
      <c r="A367" t="s">
        <v>2236</v>
      </c>
    </row>
    <row r="368" spans="1:1">
      <c r="A368" t="s">
        <v>2236</v>
      </c>
    </row>
    <row r="369" spans="1:1">
      <c r="A369" t="s">
        <v>2236</v>
      </c>
    </row>
    <row r="370" spans="1:1">
      <c r="A370" t="s">
        <v>2337</v>
      </c>
    </row>
    <row r="371" spans="1:1">
      <c r="A371" t="s">
        <v>2236</v>
      </c>
    </row>
    <row r="372" spans="1:1">
      <c r="A372" t="s">
        <v>2236</v>
      </c>
    </row>
    <row r="373" spans="1:1">
      <c r="A373" t="s">
        <v>2338</v>
      </c>
    </row>
    <row r="374" spans="1:1">
      <c r="A374" t="s">
        <v>2238</v>
      </c>
    </row>
    <row r="375" spans="1:1">
      <c r="A375" t="s">
        <v>2234</v>
      </c>
    </row>
    <row r="376" spans="1:1">
      <c r="A376" t="s">
        <v>2231</v>
      </c>
    </row>
    <row r="377" spans="1:1">
      <c r="A377" t="s">
        <v>2265</v>
      </c>
    </row>
    <row r="378" spans="1:1">
      <c r="A378" t="s">
        <v>2226</v>
      </c>
    </row>
    <row r="379" spans="1:1">
      <c r="A379" t="s">
        <v>2233</v>
      </c>
    </row>
    <row r="380" spans="1:1">
      <c r="A380" t="s">
        <v>2229</v>
      </c>
    </row>
    <row r="381" spans="1:1">
      <c r="A381" t="s">
        <v>2234</v>
      </c>
    </row>
    <row r="382" spans="1:1">
      <c r="A382" t="s">
        <v>2235</v>
      </c>
    </row>
    <row r="383" spans="1:1">
      <c r="A383" t="s">
        <v>2339</v>
      </c>
    </row>
    <row r="384" spans="1:1">
      <c r="A384" t="s">
        <v>2236</v>
      </c>
    </row>
    <row r="385" spans="1:1">
      <c r="A385" t="s">
        <v>2236</v>
      </c>
    </row>
    <row r="386" spans="1:1">
      <c r="A386" t="s">
        <v>2236</v>
      </c>
    </row>
    <row r="387" spans="1:1">
      <c r="A387" t="s">
        <v>2236</v>
      </c>
    </row>
    <row r="388" spans="1:1">
      <c r="A388" t="s">
        <v>2335</v>
      </c>
    </row>
    <row r="389" spans="1:1">
      <c r="A389" t="s">
        <v>2236</v>
      </c>
    </row>
    <row r="390" spans="1:1">
      <c r="A390" t="s">
        <v>2236</v>
      </c>
    </row>
    <row r="391" spans="1:1">
      <c r="A391" t="s">
        <v>2236</v>
      </c>
    </row>
    <row r="392" spans="1:1">
      <c r="A392" t="s">
        <v>2236</v>
      </c>
    </row>
    <row r="393" spans="1:1">
      <c r="A393" t="s">
        <v>2236</v>
      </c>
    </row>
    <row r="394" spans="1:1">
      <c r="A394" t="s">
        <v>2236</v>
      </c>
    </row>
    <row r="395" spans="1:1">
      <c r="A395" t="s">
        <v>2236</v>
      </c>
    </row>
    <row r="396" spans="1:1">
      <c r="A396" t="s">
        <v>2236</v>
      </c>
    </row>
    <row r="397" spans="1:1">
      <c r="A397" t="s">
        <v>2236</v>
      </c>
    </row>
    <row r="398" spans="1:1">
      <c r="A398" t="s">
        <v>2340</v>
      </c>
    </row>
    <row r="399" spans="1:1">
      <c r="A399" t="s">
        <v>2236</v>
      </c>
    </row>
    <row r="400" spans="1:1">
      <c r="A400" t="s">
        <v>2236</v>
      </c>
    </row>
    <row r="401" spans="1:1">
      <c r="A401" t="s">
        <v>2341</v>
      </c>
    </row>
    <row r="402" spans="1:1">
      <c r="A402" t="s">
        <v>2238</v>
      </c>
    </row>
    <row r="403" spans="1:1">
      <c r="A403" t="s">
        <v>2234</v>
      </c>
    </row>
    <row r="404" spans="1:1">
      <c r="A404" t="s">
        <v>2231</v>
      </c>
    </row>
    <row r="405" spans="1:1">
      <c r="A405" t="s">
        <v>2266</v>
      </c>
    </row>
    <row r="406" spans="1:1">
      <c r="A406" t="s">
        <v>2226</v>
      </c>
    </row>
    <row r="407" spans="1:1">
      <c r="A407" t="s">
        <v>2233</v>
      </c>
    </row>
    <row r="408" spans="1:1">
      <c r="A408" t="s">
        <v>2229</v>
      </c>
    </row>
    <row r="409" spans="1:1">
      <c r="A409" t="s">
        <v>2234</v>
      </c>
    </row>
    <row r="410" spans="1:1">
      <c r="A410" t="s">
        <v>2235</v>
      </c>
    </row>
    <row r="411" spans="1:1">
      <c r="A411" t="s">
        <v>2342</v>
      </c>
    </row>
    <row r="412" spans="1:1">
      <c r="A412" t="s">
        <v>2236</v>
      </c>
    </row>
    <row r="413" spans="1:1">
      <c r="A413" t="s">
        <v>2236</v>
      </c>
    </row>
    <row r="414" spans="1:1">
      <c r="A414" t="s">
        <v>2236</v>
      </c>
    </row>
    <row r="415" spans="1:1">
      <c r="A415" t="s">
        <v>2236</v>
      </c>
    </row>
    <row r="416" spans="1:1">
      <c r="A416" t="s">
        <v>2335</v>
      </c>
    </row>
    <row r="417" spans="1:1">
      <c r="A417" t="s">
        <v>2236</v>
      </c>
    </row>
    <row r="418" spans="1:1">
      <c r="A418" t="s">
        <v>2236</v>
      </c>
    </row>
    <row r="419" spans="1:1">
      <c r="A419" t="s">
        <v>2236</v>
      </c>
    </row>
    <row r="420" spans="1:1">
      <c r="A420" t="s">
        <v>2236</v>
      </c>
    </row>
    <row r="421" spans="1:1">
      <c r="A421" t="s">
        <v>2236</v>
      </c>
    </row>
    <row r="422" spans="1:1">
      <c r="A422" t="s">
        <v>2236</v>
      </c>
    </row>
    <row r="423" spans="1:1">
      <c r="A423" t="s">
        <v>2236</v>
      </c>
    </row>
    <row r="424" spans="1:1">
      <c r="A424" t="s">
        <v>2236</v>
      </c>
    </row>
    <row r="425" spans="1:1">
      <c r="A425" t="s">
        <v>2236</v>
      </c>
    </row>
    <row r="426" spans="1:1">
      <c r="A426" t="s">
        <v>2343</v>
      </c>
    </row>
    <row r="427" spans="1:1">
      <c r="A427" t="s">
        <v>2236</v>
      </c>
    </row>
    <row r="428" spans="1:1">
      <c r="A428" t="s">
        <v>2236</v>
      </c>
    </row>
    <row r="429" spans="1:1">
      <c r="A429" t="s">
        <v>2344</v>
      </c>
    </row>
    <row r="430" spans="1:1">
      <c r="A430" t="s">
        <v>2238</v>
      </c>
    </row>
    <row r="431" spans="1:1">
      <c r="A431" t="s">
        <v>2234</v>
      </c>
    </row>
    <row r="432" spans="1:1">
      <c r="A432" t="s">
        <v>2231</v>
      </c>
    </row>
    <row r="433" spans="1:1">
      <c r="A433" t="s">
        <v>2267</v>
      </c>
    </row>
    <row r="434" spans="1:1">
      <c r="A434" t="s">
        <v>2226</v>
      </c>
    </row>
    <row r="435" spans="1:1">
      <c r="A435" t="s">
        <v>2233</v>
      </c>
    </row>
    <row r="436" spans="1:1">
      <c r="A436" t="s">
        <v>2229</v>
      </c>
    </row>
    <row r="437" spans="1:1">
      <c r="A437" t="s">
        <v>2234</v>
      </c>
    </row>
    <row r="438" spans="1:1">
      <c r="A438" t="s">
        <v>2235</v>
      </c>
    </row>
    <row r="439" spans="1:1">
      <c r="A439" t="s">
        <v>2345</v>
      </c>
    </row>
    <row r="440" spans="1:1">
      <c r="A440" t="s">
        <v>2236</v>
      </c>
    </row>
    <row r="441" spans="1:1">
      <c r="A441" t="s">
        <v>2236</v>
      </c>
    </row>
    <row r="442" spans="1:1">
      <c r="A442" t="s">
        <v>2236</v>
      </c>
    </row>
    <row r="443" spans="1:1">
      <c r="A443" t="s">
        <v>2236</v>
      </c>
    </row>
    <row r="444" spans="1:1">
      <c r="A444" t="s">
        <v>2335</v>
      </c>
    </row>
    <row r="445" spans="1:1">
      <c r="A445" t="s">
        <v>2236</v>
      </c>
    </row>
    <row r="446" spans="1:1">
      <c r="A446" t="s">
        <v>2236</v>
      </c>
    </row>
    <row r="447" spans="1:1">
      <c r="A447" t="s">
        <v>2236</v>
      </c>
    </row>
    <row r="448" spans="1:1">
      <c r="A448" t="s">
        <v>2236</v>
      </c>
    </row>
    <row r="449" spans="1:1">
      <c r="A449" t="s">
        <v>2236</v>
      </c>
    </row>
    <row r="450" spans="1:1">
      <c r="A450" t="s">
        <v>2236</v>
      </c>
    </row>
    <row r="451" spans="1:1">
      <c r="A451" t="s">
        <v>2236</v>
      </c>
    </row>
    <row r="452" spans="1:1">
      <c r="A452" t="s">
        <v>2236</v>
      </c>
    </row>
    <row r="453" spans="1:1">
      <c r="A453" t="s">
        <v>2236</v>
      </c>
    </row>
    <row r="454" spans="1:1">
      <c r="A454" t="s">
        <v>2346</v>
      </c>
    </row>
    <row r="455" spans="1:1">
      <c r="A455" t="s">
        <v>2236</v>
      </c>
    </row>
    <row r="456" spans="1:1">
      <c r="A456" t="s">
        <v>2236</v>
      </c>
    </row>
    <row r="457" spans="1:1">
      <c r="A457" t="s">
        <v>2347</v>
      </c>
    </row>
    <row r="458" spans="1:1">
      <c r="A458" t="s">
        <v>2238</v>
      </c>
    </row>
    <row r="459" spans="1:1">
      <c r="A459" t="s">
        <v>2234</v>
      </c>
    </row>
    <row r="460" spans="1:1">
      <c r="A460" t="s">
        <v>2231</v>
      </c>
    </row>
    <row r="461" spans="1:1">
      <c r="A461" t="s">
        <v>2268</v>
      </c>
    </row>
    <row r="462" spans="1:1">
      <c r="A462" t="s">
        <v>2226</v>
      </c>
    </row>
    <row r="463" spans="1:1">
      <c r="A463" t="s">
        <v>2233</v>
      </c>
    </row>
    <row r="464" spans="1:1">
      <c r="A464" t="s">
        <v>2229</v>
      </c>
    </row>
    <row r="465" spans="1:1">
      <c r="A465" t="s">
        <v>2234</v>
      </c>
    </row>
    <row r="466" spans="1:1">
      <c r="A466" t="s">
        <v>2235</v>
      </c>
    </row>
    <row r="467" spans="1:1">
      <c r="A467" t="s">
        <v>2348</v>
      </c>
    </row>
    <row r="468" spans="1:1">
      <c r="A468" t="s">
        <v>2236</v>
      </c>
    </row>
    <row r="469" spans="1:1">
      <c r="A469" t="s">
        <v>2236</v>
      </c>
    </row>
    <row r="470" spans="1:1">
      <c r="A470" t="s">
        <v>2236</v>
      </c>
    </row>
    <row r="471" spans="1:1">
      <c r="A471" t="s">
        <v>2236</v>
      </c>
    </row>
    <row r="472" spans="1:1">
      <c r="A472" t="s">
        <v>2349</v>
      </c>
    </row>
    <row r="473" spans="1:1">
      <c r="A473" t="s">
        <v>2236</v>
      </c>
    </row>
    <row r="474" spans="1:1">
      <c r="A474" t="s">
        <v>2236</v>
      </c>
    </row>
    <row r="475" spans="1:1">
      <c r="A475" t="s">
        <v>2236</v>
      </c>
    </row>
    <row r="476" spans="1:1">
      <c r="A476" t="s">
        <v>2236</v>
      </c>
    </row>
    <row r="477" spans="1:1">
      <c r="A477" t="s">
        <v>2236</v>
      </c>
    </row>
    <row r="478" spans="1:1">
      <c r="A478" t="s">
        <v>2236</v>
      </c>
    </row>
    <row r="479" spans="1:1">
      <c r="A479" t="s">
        <v>2236</v>
      </c>
    </row>
    <row r="480" spans="1:1">
      <c r="A480" t="s">
        <v>2236</v>
      </c>
    </row>
    <row r="481" spans="1:1">
      <c r="A481" t="s">
        <v>2236</v>
      </c>
    </row>
    <row r="482" spans="1:1">
      <c r="A482" t="s">
        <v>2350</v>
      </c>
    </row>
    <row r="483" spans="1:1">
      <c r="A483" t="s">
        <v>2236</v>
      </c>
    </row>
    <row r="484" spans="1:1">
      <c r="A484" t="s">
        <v>2236</v>
      </c>
    </row>
    <row r="485" spans="1:1">
      <c r="A485" t="s">
        <v>2351</v>
      </c>
    </row>
    <row r="486" spans="1:1">
      <c r="A486" t="s">
        <v>2238</v>
      </c>
    </row>
    <row r="487" spans="1:1">
      <c r="A487" t="s">
        <v>2234</v>
      </c>
    </row>
    <row r="488" spans="1:1">
      <c r="A488" t="s">
        <v>2231</v>
      </c>
    </row>
    <row r="489" spans="1:1">
      <c r="A489" t="s">
        <v>2237</v>
      </c>
    </row>
    <row r="490" spans="1:1">
      <c r="A490" t="s">
        <v>2226</v>
      </c>
    </row>
    <row r="491" spans="1:1">
      <c r="A491" t="s">
        <v>2233</v>
      </c>
    </row>
    <row r="492" spans="1:1">
      <c r="A492" t="s">
        <v>2229</v>
      </c>
    </row>
    <row r="493" spans="1:1">
      <c r="A493" t="s">
        <v>2234</v>
      </c>
    </row>
    <row r="494" spans="1:1">
      <c r="A494" t="s">
        <v>2235</v>
      </c>
    </row>
    <row r="495" spans="1:1">
      <c r="A495" t="s">
        <v>2352</v>
      </c>
    </row>
    <row r="496" spans="1:1">
      <c r="A496" t="s">
        <v>2236</v>
      </c>
    </row>
    <row r="497" spans="1:1">
      <c r="A497" t="s">
        <v>2236</v>
      </c>
    </row>
    <row r="498" spans="1:1">
      <c r="A498" t="s">
        <v>2236</v>
      </c>
    </row>
    <row r="499" spans="1:1">
      <c r="A499" t="s">
        <v>2236</v>
      </c>
    </row>
    <row r="500" spans="1:1">
      <c r="A500" t="s">
        <v>2349</v>
      </c>
    </row>
    <row r="501" spans="1:1">
      <c r="A501" t="s">
        <v>2236</v>
      </c>
    </row>
    <row r="502" spans="1:1">
      <c r="A502" t="s">
        <v>2236</v>
      </c>
    </row>
    <row r="503" spans="1:1">
      <c r="A503" t="s">
        <v>2236</v>
      </c>
    </row>
    <row r="504" spans="1:1">
      <c r="A504" t="s">
        <v>2236</v>
      </c>
    </row>
    <row r="505" spans="1:1">
      <c r="A505" t="s">
        <v>2236</v>
      </c>
    </row>
    <row r="506" spans="1:1">
      <c r="A506" t="s">
        <v>2236</v>
      </c>
    </row>
    <row r="507" spans="1:1">
      <c r="A507" t="s">
        <v>2236</v>
      </c>
    </row>
    <row r="508" spans="1:1">
      <c r="A508" t="s">
        <v>2236</v>
      </c>
    </row>
    <row r="509" spans="1:1">
      <c r="A509" t="s">
        <v>2236</v>
      </c>
    </row>
    <row r="510" spans="1:1">
      <c r="A510" t="s">
        <v>2353</v>
      </c>
    </row>
    <row r="511" spans="1:1">
      <c r="A511" t="s">
        <v>2236</v>
      </c>
    </row>
    <row r="512" spans="1:1">
      <c r="A512" t="s">
        <v>2236</v>
      </c>
    </row>
    <row r="513" spans="1:1">
      <c r="A513" t="s">
        <v>2354</v>
      </c>
    </row>
    <row r="514" spans="1:1">
      <c r="A514" t="s">
        <v>2238</v>
      </c>
    </row>
    <row r="515" spans="1:1">
      <c r="A515" t="s">
        <v>2234</v>
      </c>
    </row>
    <row r="516" spans="1:1">
      <c r="A516" t="s">
        <v>2231</v>
      </c>
    </row>
    <row r="517" spans="1:1">
      <c r="A517" t="s">
        <v>2251</v>
      </c>
    </row>
    <row r="518" spans="1:1">
      <c r="A518" t="s">
        <v>2226</v>
      </c>
    </row>
    <row r="519" spans="1:1">
      <c r="A519" t="s">
        <v>2233</v>
      </c>
    </row>
    <row r="520" spans="1:1">
      <c r="A520" t="s">
        <v>2229</v>
      </c>
    </row>
    <row r="521" spans="1:1">
      <c r="A521" t="s">
        <v>2234</v>
      </c>
    </row>
    <row r="522" spans="1:1">
      <c r="A522" t="s">
        <v>2235</v>
      </c>
    </row>
    <row r="523" spans="1:1">
      <c r="A523" t="s">
        <v>2355</v>
      </c>
    </row>
    <row r="524" spans="1:1">
      <c r="A524" t="s">
        <v>2236</v>
      </c>
    </row>
    <row r="525" spans="1:1">
      <c r="A525" t="s">
        <v>2236</v>
      </c>
    </row>
    <row r="526" spans="1:1">
      <c r="A526" t="s">
        <v>2236</v>
      </c>
    </row>
    <row r="527" spans="1:1">
      <c r="A527" t="s">
        <v>2236</v>
      </c>
    </row>
    <row r="528" spans="1:1">
      <c r="A528" t="s">
        <v>2349</v>
      </c>
    </row>
    <row r="529" spans="1:1">
      <c r="A529" t="s">
        <v>2236</v>
      </c>
    </row>
    <row r="530" spans="1:1">
      <c r="A530" t="s">
        <v>2236</v>
      </c>
    </row>
    <row r="531" spans="1:1">
      <c r="A531" t="s">
        <v>2236</v>
      </c>
    </row>
    <row r="532" spans="1:1">
      <c r="A532" t="s">
        <v>2236</v>
      </c>
    </row>
    <row r="533" spans="1:1">
      <c r="A533" t="s">
        <v>2236</v>
      </c>
    </row>
    <row r="534" spans="1:1">
      <c r="A534" t="s">
        <v>2236</v>
      </c>
    </row>
    <row r="535" spans="1:1">
      <c r="A535" t="s">
        <v>2236</v>
      </c>
    </row>
    <row r="536" spans="1:1">
      <c r="A536" t="s">
        <v>2236</v>
      </c>
    </row>
    <row r="537" spans="1:1">
      <c r="A537" t="s">
        <v>2236</v>
      </c>
    </row>
    <row r="538" spans="1:1">
      <c r="A538" t="s">
        <v>2347</v>
      </c>
    </row>
    <row r="539" spans="1:1">
      <c r="A539" t="s">
        <v>2236</v>
      </c>
    </row>
    <row r="540" spans="1:1">
      <c r="A540" t="s">
        <v>2236</v>
      </c>
    </row>
    <row r="541" spans="1:1">
      <c r="A541" t="s">
        <v>2356</v>
      </c>
    </row>
    <row r="542" spans="1:1">
      <c r="A542" t="s">
        <v>2238</v>
      </c>
    </row>
    <row r="543" spans="1:1">
      <c r="A543" t="s">
        <v>2234</v>
      </c>
    </row>
    <row r="544" spans="1:1">
      <c r="A544" t="s">
        <v>2231</v>
      </c>
    </row>
    <row r="545" spans="1:1">
      <c r="A545" t="s">
        <v>2270</v>
      </c>
    </row>
    <row r="546" spans="1:1">
      <c r="A546" t="s">
        <v>2226</v>
      </c>
    </row>
    <row r="547" spans="1:1">
      <c r="A547" t="s">
        <v>2233</v>
      </c>
    </row>
    <row r="548" spans="1:1">
      <c r="A548" t="s">
        <v>2229</v>
      </c>
    </row>
    <row r="549" spans="1:1">
      <c r="A549" t="s">
        <v>2234</v>
      </c>
    </row>
    <row r="550" spans="1:1">
      <c r="A550" t="s">
        <v>2235</v>
      </c>
    </row>
    <row r="551" spans="1:1">
      <c r="A551" t="s">
        <v>2357</v>
      </c>
    </row>
    <row r="552" spans="1:1">
      <c r="A552" t="s">
        <v>2236</v>
      </c>
    </row>
    <row r="553" spans="1:1">
      <c r="A553" t="s">
        <v>2236</v>
      </c>
    </row>
    <row r="554" spans="1:1">
      <c r="A554" t="s">
        <v>2236</v>
      </c>
    </row>
    <row r="555" spans="1:1">
      <c r="A555" t="s">
        <v>2236</v>
      </c>
    </row>
    <row r="556" spans="1:1">
      <c r="A556" t="s">
        <v>2349</v>
      </c>
    </row>
    <row r="557" spans="1:1">
      <c r="A557" t="s">
        <v>2236</v>
      </c>
    </row>
    <row r="558" spans="1:1">
      <c r="A558" t="s">
        <v>2236</v>
      </c>
    </row>
    <row r="559" spans="1:1">
      <c r="A559" t="s">
        <v>2236</v>
      </c>
    </row>
    <row r="560" spans="1:1">
      <c r="A560" t="s">
        <v>2236</v>
      </c>
    </row>
    <row r="561" spans="1:1">
      <c r="A561" t="s">
        <v>2236</v>
      </c>
    </row>
    <row r="562" spans="1:1">
      <c r="A562" t="s">
        <v>2236</v>
      </c>
    </row>
    <row r="563" spans="1:1">
      <c r="A563" t="s">
        <v>2236</v>
      </c>
    </row>
    <row r="564" spans="1:1">
      <c r="A564" t="s">
        <v>2236</v>
      </c>
    </row>
    <row r="565" spans="1:1">
      <c r="A565" t="s">
        <v>2236</v>
      </c>
    </row>
    <row r="566" spans="1:1">
      <c r="A566" t="s">
        <v>2358</v>
      </c>
    </row>
    <row r="567" spans="1:1">
      <c r="A567" t="s">
        <v>2236</v>
      </c>
    </row>
    <row r="568" spans="1:1">
      <c r="A568" t="s">
        <v>2236</v>
      </c>
    </row>
    <row r="569" spans="1:1">
      <c r="A569" t="s">
        <v>2359</v>
      </c>
    </row>
    <row r="570" spans="1:1">
      <c r="A570" t="s">
        <v>2238</v>
      </c>
    </row>
    <row r="571" spans="1:1">
      <c r="A571" t="s">
        <v>2234</v>
      </c>
    </row>
    <row r="572" spans="1:1">
      <c r="A572" t="s">
        <v>2231</v>
      </c>
    </row>
    <row r="573" spans="1:1">
      <c r="A573" t="s">
        <v>2360</v>
      </c>
    </row>
    <row r="574" spans="1:1">
      <c r="A574" t="s">
        <v>2226</v>
      </c>
    </row>
    <row r="575" spans="1:1">
      <c r="A575" t="s">
        <v>2233</v>
      </c>
    </row>
    <row r="576" spans="1:1">
      <c r="A576" t="s">
        <v>2229</v>
      </c>
    </row>
    <row r="577" spans="1:1">
      <c r="A577" t="s">
        <v>2234</v>
      </c>
    </row>
    <row r="578" spans="1:1">
      <c r="A578" t="s">
        <v>2235</v>
      </c>
    </row>
    <row r="579" spans="1:1">
      <c r="A579" t="s">
        <v>2361</v>
      </c>
    </row>
    <row r="580" spans="1:1">
      <c r="A580" t="s">
        <v>2236</v>
      </c>
    </row>
    <row r="581" spans="1:1">
      <c r="A581" t="s">
        <v>2236</v>
      </c>
    </row>
    <row r="582" spans="1:1">
      <c r="A582" t="s">
        <v>2236</v>
      </c>
    </row>
    <row r="583" spans="1:1">
      <c r="A583" t="s">
        <v>2236</v>
      </c>
    </row>
    <row r="584" spans="1:1">
      <c r="A584" t="s">
        <v>2349</v>
      </c>
    </row>
    <row r="585" spans="1:1">
      <c r="A585" t="s">
        <v>2236</v>
      </c>
    </row>
    <row r="586" spans="1:1">
      <c r="A586" t="s">
        <v>2236</v>
      </c>
    </row>
    <row r="587" spans="1:1">
      <c r="A587" t="s">
        <v>2236</v>
      </c>
    </row>
    <row r="588" spans="1:1">
      <c r="A588" t="s">
        <v>2236</v>
      </c>
    </row>
    <row r="589" spans="1:1">
      <c r="A589" t="s">
        <v>2236</v>
      </c>
    </row>
    <row r="590" spans="1:1">
      <c r="A590" t="s">
        <v>2236</v>
      </c>
    </row>
    <row r="591" spans="1:1">
      <c r="A591" t="s">
        <v>2236</v>
      </c>
    </row>
    <row r="592" spans="1:1">
      <c r="A592" t="s">
        <v>2236</v>
      </c>
    </row>
    <row r="593" spans="1:1">
      <c r="A593" t="s">
        <v>2236</v>
      </c>
    </row>
    <row r="594" spans="1:1">
      <c r="A594" t="s">
        <v>2362</v>
      </c>
    </row>
    <row r="595" spans="1:1">
      <c r="A595" t="s">
        <v>2236</v>
      </c>
    </row>
    <row r="596" spans="1:1">
      <c r="A596" t="s">
        <v>2236</v>
      </c>
    </row>
    <row r="597" spans="1:1">
      <c r="A597" t="s">
        <v>2363</v>
      </c>
    </row>
    <row r="598" spans="1:1">
      <c r="A598" t="s">
        <v>2238</v>
      </c>
    </row>
    <row r="599" spans="1:1">
      <c r="A599" t="s">
        <v>2234</v>
      </c>
    </row>
    <row r="600" spans="1:1">
      <c r="A600" t="s">
        <v>2231</v>
      </c>
    </row>
    <row r="601" spans="1:1">
      <c r="A601" t="s">
        <v>2364</v>
      </c>
    </row>
    <row r="602" spans="1:1">
      <c r="A602" t="s">
        <v>2226</v>
      </c>
    </row>
    <row r="603" spans="1:1">
      <c r="A603" t="s">
        <v>2233</v>
      </c>
    </row>
    <row r="604" spans="1:1">
      <c r="A604" t="s">
        <v>2229</v>
      </c>
    </row>
    <row r="605" spans="1:1">
      <c r="A605" t="s">
        <v>2234</v>
      </c>
    </row>
    <row r="606" spans="1:1">
      <c r="A606" t="s">
        <v>2235</v>
      </c>
    </row>
    <row r="607" spans="1:1">
      <c r="A607" t="s">
        <v>2365</v>
      </c>
    </row>
    <row r="608" spans="1:1">
      <c r="A608" t="s">
        <v>2236</v>
      </c>
    </row>
    <row r="609" spans="1:1">
      <c r="A609" t="s">
        <v>2236</v>
      </c>
    </row>
    <row r="610" spans="1:1">
      <c r="A610" t="s">
        <v>2236</v>
      </c>
    </row>
    <row r="611" spans="1:1">
      <c r="A611" t="s">
        <v>2236</v>
      </c>
    </row>
    <row r="612" spans="1:1">
      <c r="A612" t="s">
        <v>2349</v>
      </c>
    </row>
    <row r="613" spans="1:1">
      <c r="A613" t="s">
        <v>2236</v>
      </c>
    </row>
    <row r="614" spans="1:1">
      <c r="A614" t="s">
        <v>2236</v>
      </c>
    </row>
    <row r="615" spans="1:1">
      <c r="A615" t="s">
        <v>2236</v>
      </c>
    </row>
    <row r="616" spans="1:1">
      <c r="A616" t="s">
        <v>2236</v>
      </c>
    </row>
    <row r="617" spans="1:1">
      <c r="A617" t="s">
        <v>2236</v>
      </c>
    </row>
    <row r="618" spans="1:1">
      <c r="A618" t="s">
        <v>2236</v>
      </c>
    </row>
    <row r="619" spans="1:1">
      <c r="A619" t="s">
        <v>2236</v>
      </c>
    </row>
    <row r="620" spans="1:1">
      <c r="A620" t="s">
        <v>2236</v>
      </c>
    </row>
    <row r="621" spans="1:1">
      <c r="A621" t="s">
        <v>2236</v>
      </c>
    </row>
    <row r="622" spans="1:1">
      <c r="A622" t="s">
        <v>2366</v>
      </c>
    </row>
    <row r="623" spans="1:1">
      <c r="A623" t="s">
        <v>2236</v>
      </c>
    </row>
    <row r="624" spans="1:1">
      <c r="A624" t="s">
        <v>2236</v>
      </c>
    </row>
    <row r="625" spans="1:1">
      <c r="A625" t="s">
        <v>2367</v>
      </c>
    </row>
    <row r="626" spans="1:1">
      <c r="A626" t="s">
        <v>2238</v>
      </c>
    </row>
    <row r="627" spans="1:1">
      <c r="A627" t="s">
        <v>2234</v>
      </c>
    </row>
    <row r="628" spans="1:1">
      <c r="A628" t="s">
        <v>2231</v>
      </c>
    </row>
    <row r="629" spans="1:1">
      <c r="A629" t="s">
        <v>2368</v>
      </c>
    </row>
    <row r="630" spans="1:1">
      <c r="A630" t="s">
        <v>2226</v>
      </c>
    </row>
    <row r="631" spans="1:1">
      <c r="A631" t="s">
        <v>2233</v>
      </c>
    </row>
    <row r="632" spans="1:1">
      <c r="A632" t="s">
        <v>2229</v>
      </c>
    </row>
    <row r="633" spans="1:1">
      <c r="A633" t="s">
        <v>2234</v>
      </c>
    </row>
    <row r="634" spans="1:1">
      <c r="A634" t="s">
        <v>2235</v>
      </c>
    </row>
    <row r="635" spans="1:1">
      <c r="A635" t="s">
        <v>2369</v>
      </c>
    </row>
    <row r="636" spans="1:1">
      <c r="A636" t="s">
        <v>2236</v>
      </c>
    </row>
    <row r="637" spans="1:1">
      <c r="A637" t="s">
        <v>2236</v>
      </c>
    </row>
    <row r="638" spans="1:1">
      <c r="A638" t="s">
        <v>2236</v>
      </c>
    </row>
    <row r="639" spans="1:1">
      <c r="A639" t="s">
        <v>2236</v>
      </c>
    </row>
    <row r="640" spans="1:1">
      <c r="A640" t="s">
        <v>2349</v>
      </c>
    </row>
    <row r="641" spans="1:1">
      <c r="A641" t="s">
        <v>2236</v>
      </c>
    </row>
    <row r="642" spans="1:1">
      <c r="A642" t="s">
        <v>2236</v>
      </c>
    </row>
    <row r="643" spans="1:1">
      <c r="A643" t="s">
        <v>2236</v>
      </c>
    </row>
    <row r="644" spans="1:1">
      <c r="A644" t="s">
        <v>2236</v>
      </c>
    </row>
    <row r="645" spans="1:1">
      <c r="A645" t="s">
        <v>2236</v>
      </c>
    </row>
    <row r="646" spans="1:1">
      <c r="A646" t="s">
        <v>2236</v>
      </c>
    </row>
    <row r="647" spans="1:1">
      <c r="A647" t="s">
        <v>2236</v>
      </c>
    </row>
    <row r="648" spans="1:1">
      <c r="A648" t="s">
        <v>2236</v>
      </c>
    </row>
    <row r="649" spans="1:1">
      <c r="A649" t="s">
        <v>2236</v>
      </c>
    </row>
    <row r="650" spans="1:1">
      <c r="A650" t="s">
        <v>2370</v>
      </c>
    </row>
    <row r="651" spans="1:1">
      <c r="A651" t="s">
        <v>2236</v>
      </c>
    </row>
    <row r="652" spans="1:1">
      <c r="A652" t="s">
        <v>2236</v>
      </c>
    </row>
    <row r="653" spans="1:1">
      <c r="A653" t="s">
        <v>2371</v>
      </c>
    </row>
    <row r="654" spans="1:1">
      <c r="A654" t="s">
        <v>2238</v>
      </c>
    </row>
    <row r="655" spans="1:1">
      <c r="A655" t="s">
        <v>2234</v>
      </c>
    </row>
    <row r="656" spans="1:1">
      <c r="A656" t="s">
        <v>2231</v>
      </c>
    </row>
    <row r="657" spans="1:1">
      <c r="A657" t="s">
        <v>2372</v>
      </c>
    </row>
    <row r="658" spans="1:1">
      <c r="A658" t="s">
        <v>2226</v>
      </c>
    </row>
    <row r="659" spans="1:1">
      <c r="A659" t="s">
        <v>2233</v>
      </c>
    </row>
    <row r="660" spans="1:1">
      <c r="A660" t="s">
        <v>2229</v>
      </c>
    </row>
    <row r="661" spans="1:1">
      <c r="A661" t="s">
        <v>2234</v>
      </c>
    </row>
    <row r="662" spans="1:1">
      <c r="A662" t="s">
        <v>2235</v>
      </c>
    </row>
    <row r="663" spans="1:1">
      <c r="A663" t="s">
        <v>2373</v>
      </c>
    </row>
    <row r="664" spans="1:1">
      <c r="A664" t="s">
        <v>2236</v>
      </c>
    </row>
    <row r="665" spans="1:1">
      <c r="A665" t="s">
        <v>2236</v>
      </c>
    </row>
    <row r="666" spans="1:1">
      <c r="A666" t="s">
        <v>2236</v>
      </c>
    </row>
    <row r="667" spans="1:1">
      <c r="A667" t="s">
        <v>2236</v>
      </c>
    </row>
    <row r="668" spans="1:1">
      <c r="A668" t="s">
        <v>2349</v>
      </c>
    </row>
    <row r="669" spans="1:1">
      <c r="A669" t="s">
        <v>2236</v>
      </c>
    </row>
    <row r="670" spans="1:1">
      <c r="A670" t="s">
        <v>2236</v>
      </c>
    </row>
    <row r="671" spans="1:1">
      <c r="A671" t="s">
        <v>2236</v>
      </c>
    </row>
    <row r="672" spans="1:1">
      <c r="A672" t="s">
        <v>2236</v>
      </c>
    </row>
    <row r="673" spans="1:1">
      <c r="A673" t="s">
        <v>2236</v>
      </c>
    </row>
    <row r="674" spans="1:1">
      <c r="A674" t="s">
        <v>2236</v>
      </c>
    </row>
    <row r="675" spans="1:1">
      <c r="A675" t="s">
        <v>2236</v>
      </c>
    </row>
    <row r="676" spans="1:1">
      <c r="A676" t="s">
        <v>2236</v>
      </c>
    </row>
    <row r="677" spans="1:1">
      <c r="A677" t="s">
        <v>2236</v>
      </c>
    </row>
    <row r="678" spans="1:1">
      <c r="A678" t="s">
        <v>2374</v>
      </c>
    </row>
    <row r="679" spans="1:1">
      <c r="A679" t="s">
        <v>2236</v>
      </c>
    </row>
    <row r="680" spans="1:1">
      <c r="A680" t="s">
        <v>2236</v>
      </c>
    </row>
    <row r="681" spans="1:1">
      <c r="A681" t="s">
        <v>2375</v>
      </c>
    </row>
    <row r="682" spans="1:1">
      <c r="A682" t="s">
        <v>2238</v>
      </c>
    </row>
    <row r="683" spans="1:1">
      <c r="A683" t="s">
        <v>2234</v>
      </c>
    </row>
    <row r="684" spans="1:1">
      <c r="A684" t="s">
        <v>2231</v>
      </c>
    </row>
    <row r="685" spans="1:1">
      <c r="A685" t="s">
        <v>2358</v>
      </c>
    </row>
    <row r="686" spans="1:1">
      <c r="A686" t="s">
        <v>2226</v>
      </c>
    </row>
    <row r="687" spans="1:1">
      <c r="A687" t="s">
        <v>2233</v>
      </c>
    </row>
    <row r="688" spans="1:1">
      <c r="A688" t="s">
        <v>2229</v>
      </c>
    </row>
    <row r="689" spans="1:1">
      <c r="A689" t="s">
        <v>2234</v>
      </c>
    </row>
    <row r="690" spans="1:1">
      <c r="A690" t="s">
        <v>2235</v>
      </c>
    </row>
    <row r="691" spans="1:1">
      <c r="A691" t="s">
        <v>2376</v>
      </c>
    </row>
    <row r="692" spans="1:1">
      <c r="A692" t="s">
        <v>2236</v>
      </c>
    </row>
    <row r="693" spans="1:1">
      <c r="A693" t="s">
        <v>2236</v>
      </c>
    </row>
    <row r="694" spans="1:1">
      <c r="A694" t="s">
        <v>2236</v>
      </c>
    </row>
    <row r="695" spans="1:1">
      <c r="A695" t="s">
        <v>2236</v>
      </c>
    </row>
    <row r="696" spans="1:1">
      <c r="A696" t="s">
        <v>2349</v>
      </c>
    </row>
    <row r="697" spans="1:1">
      <c r="A697" t="s">
        <v>2236</v>
      </c>
    </row>
    <row r="698" spans="1:1">
      <c r="A698" t="s">
        <v>2236</v>
      </c>
    </row>
    <row r="699" spans="1:1">
      <c r="A699" t="s">
        <v>2236</v>
      </c>
    </row>
    <row r="700" spans="1:1">
      <c r="A700" t="s">
        <v>2236</v>
      </c>
    </row>
    <row r="701" spans="1:1">
      <c r="A701" t="s">
        <v>2236</v>
      </c>
    </row>
    <row r="702" spans="1:1">
      <c r="A702" t="s">
        <v>2236</v>
      </c>
    </row>
    <row r="703" spans="1:1">
      <c r="A703" t="s">
        <v>2236</v>
      </c>
    </row>
    <row r="704" spans="1:1">
      <c r="A704" t="s">
        <v>2236</v>
      </c>
    </row>
    <row r="705" spans="1:1">
      <c r="A705" t="s">
        <v>2236</v>
      </c>
    </row>
    <row r="706" spans="1:1">
      <c r="A706" t="s">
        <v>2377</v>
      </c>
    </row>
    <row r="707" spans="1:1">
      <c r="A707" t="s">
        <v>2236</v>
      </c>
    </row>
    <row r="708" spans="1:1">
      <c r="A708" t="s">
        <v>2236</v>
      </c>
    </row>
    <row r="709" spans="1:1">
      <c r="A709" t="s">
        <v>2378</v>
      </c>
    </row>
    <row r="710" spans="1:1">
      <c r="A710" t="s">
        <v>2238</v>
      </c>
    </row>
    <row r="711" spans="1:1">
      <c r="A711" t="s">
        <v>2234</v>
      </c>
    </row>
    <row r="712" spans="1:1">
      <c r="A712" t="s">
        <v>2231</v>
      </c>
    </row>
    <row r="713" spans="1:1">
      <c r="A713" t="s">
        <v>2378</v>
      </c>
    </row>
    <row r="714" spans="1:1">
      <c r="A714" t="s">
        <v>2226</v>
      </c>
    </row>
    <row r="715" spans="1:1">
      <c r="A715" t="s">
        <v>2233</v>
      </c>
    </row>
    <row r="716" spans="1:1">
      <c r="A716" t="s">
        <v>2229</v>
      </c>
    </row>
    <row r="717" spans="1:1">
      <c r="A717" t="s">
        <v>2234</v>
      </c>
    </row>
    <row r="718" spans="1:1">
      <c r="A718" t="s">
        <v>2235</v>
      </c>
    </row>
    <row r="719" spans="1:1">
      <c r="A719" t="s">
        <v>2379</v>
      </c>
    </row>
    <row r="720" spans="1:1">
      <c r="A720" t="s">
        <v>2236</v>
      </c>
    </row>
    <row r="721" spans="1:1">
      <c r="A721" t="s">
        <v>2236</v>
      </c>
    </row>
    <row r="722" spans="1:1">
      <c r="A722" t="s">
        <v>2236</v>
      </c>
    </row>
    <row r="723" spans="1:1">
      <c r="A723" t="s">
        <v>2236</v>
      </c>
    </row>
    <row r="724" spans="1:1">
      <c r="A724" t="s">
        <v>2380</v>
      </c>
    </row>
    <row r="725" spans="1:1">
      <c r="A725" t="s">
        <v>2236</v>
      </c>
    </row>
    <row r="726" spans="1:1">
      <c r="A726" t="s">
        <v>2236</v>
      </c>
    </row>
    <row r="727" spans="1:1">
      <c r="A727" t="s">
        <v>2236</v>
      </c>
    </row>
    <row r="728" spans="1:1">
      <c r="A728" t="s">
        <v>2236</v>
      </c>
    </row>
    <row r="729" spans="1:1">
      <c r="A729" t="s">
        <v>2236</v>
      </c>
    </row>
    <row r="730" spans="1:1">
      <c r="A730" t="s">
        <v>2236</v>
      </c>
    </row>
    <row r="731" spans="1:1">
      <c r="A731" t="s">
        <v>2236</v>
      </c>
    </row>
    <row r="732" spans="1:1">
      <c r="A732" t="s">
        <v>2236</v>
      </c>
    </row>
    <row r="733" spans="1:1">
      <c r="A733" t="s">
        <v>2236</v>
      </c>
    </row>
    <row r="734" spans="1:1">
      <c r="A734" t="s">
        <v>2381</v>
      </c>
    </row>
    <row r="735" spans="1:1">
      <c r="A735" t="s">
        <v>2236</v>
      </c>
    </row>
    <row r="736" spans="1:1">
      <c r="A736" t="s">
        <v>2236</v>
      </c>
    </row>
    <row r="737" spans="1:1">
      <c r="A737" t="s">
        <v>2382</v>
      </c>
    </row>
    <row r="738" spans="1:1">
      <c r="A738" t="s">
        <v>2238</v>
      </c>
    </row>
    <row r="739" spans="1:1">
      <c r="A739" t="s">
        <v>2234</v>
      </c>
    </row>
    <row r="740" spans="1:1">
      <c r="A740" t="s">
        <v>2231</v>
      </c>
    </row>
    <row r="741" spans="1:1">
      <c r="A741" t="s">
        <v>2383</v>
      </c>
    </row>
    <row r="742" spans="1:1">
      <c r="A742" t="s">
        <v>2226</v>
      </c>
    </row>
    <row r="743" spans="1:1">
      <c r="A743" t="s">
        <v>2233</v>
      </c>
    </row>
    <row r="744" spans="1:1">
      <c r="A744" t="s">
        <v>2229</v>
      </c>
    </row>
    <row r="745" spans="1:1">
      <c r="A745" t="s">
        <v>2234</v>
      </c>
    </row>
    <row r="746" spans="1:1">
      <c r="A746" t="s">
        <v>2235</v>
      </c>
    </row>
    <row r="747" spans="1:1">
      <c r="A747" t="s">
        <v>2384</v>
      </c>
    </row>
    <row r="748" spans="1:1">
      <c r="A748" t="s">
        <v>2236</v>
      </c>
    </row>
    <row r="749" spans="1:1">
      <c r="A749" t="s">
        <v>2236</v>
      </c>
    </row>
    <row r="750" spans="1:1">
      <c r="A750" t="s">
        <v>2236</v>
      </c>
    </row>
    <row r="751" spans="1:1">
      <c r="A751" t="s">
        <v>2236</v>
      </c>
    </row>
    <row r="752" spans="1:1">
      <c r="A752" t="s">
        <v>2380</v>
      </c>
    </row>
    <row r="753" spans="1:1">
      <c r="A753" t="s">
        <v>2236</v>
      </c>
    </row>
    <row r="754" spans="1:1">
      <c r="A754" t="s">
        <v>2236</v>
      </c>
    </row>
    <row r="755" spans="1:1">
      <c r="A755" t="s">
        <v>2236</v>
      </c>
    </row>
    <row r="756" spans="1:1">
      <c r="A756" t="s">
        <v>2236</v>
      </c>
    </row>
    <row r="757" spans="1:1">
      <c r="A757" t="s">
        <v>2236</v>
      </c>
    </row>
    <row r="758" spans="1:1">
      <c r="A758" t="s">
        <v>2236</v>
      </c>
    </row>
    <row r="759" spans="1:1">
      <c r="A759" t="s">
        <v>2236</v>
      </c>
    </row>
    <row r="760" spans="1:1">
      <c r="A760" t="s">
        <v>2236</v>
      </c>
    </row>
    <row r="761" spans="1:1">
      <c r="A761" t="s">
        <v>2236</v>
      </c>
    </row>
    <row r="762" spans="1:1">
      <c r="A762" t="s">
        <v>2385</v>
      </c>
    </row>
    <row r="763" spans="1:1">
      <c r="A763" t="s">
        <v>2236</v>
      </c>
    </row>
    <row r="764" spans="1:1">
      <c r="A764" t="s">
        <v>2236</v>
      </c>
    </row>
    <row r="765" spans="1:1">
      <c r="A765" t="s">
        <v>2386</v>
      </c>
    </row>
    <row r="766" spans="1:1">
      <c r="A766" t="s">
        <v>2238</v>
      </c>
    </row>
    <row r="767" spans="1:1">
      <c r="A767" t="s">
        <v>2234</v>
      </c>
    </row>
    <row r="768" spans="1:1">
      <c r="A768" t="s">
        <v>2231</v>
      </c>
    </row>
    <row r="769" spans="1:1">
      <c r="A769" t="s">
        <v>2387</v>
      </c>
    </row>
    <row r="770" spans="1:1">
      <c r="A770" t="s">
        <v>2226</v>
      </c>
    </row>
    <row r="771" spans="1:1">
      <c r="A771" t="s">
        <v>2233</v>
      </c>
    </row>
    <row r="772" spans="1:1">
      <c r="A772" t="s">
        <v>2229</v>
      </c>
    </row>
    <row r="773" spans="1:1">
      <c r="A773" t="s">
        <v>2234</v>
      </c>
    </row>
    <row r="774" spans="1:1">
      <c r="A774" t="s">
        <v>2235</v>
      </c>
    </row>
    <row r="775" spans="1:1">
      <c r="A775" t="s">
        <v>2388</v>
      </c>
    </row>
    <row r="776" spans="1:1">
      <c r="A776" t="s">
        <v>2236</v>
      </c>
    </row>
    <row r="777" spans="1:1">
      <c r="A777" t="s">
        <v>2236</v>
      </c>
    </row>
    <row r="778" spans="1:1">
      <c r="A778" t="s">
        <v>2236</v>
      </c>
    </row>
    <row r="779" spans="1:1">
      <c r="A779" t="s">
        <v>2236</v>
      </c>
    </row>
    <row r="780" spans="1:1">
      <c r="A780" t="s">
        <v>2380</v>
      </c>
    </row>
    <row r="781" spans="1:1">
      <c r="A781" t="s">
        <v>2236</v>
      </c>
    </row>
    <row r="782" spans="1:1">
      <c r="A782" t="s">
        <v>2236</v>
      </c>
    </row>
    <row r="783" spans="1:1">
      <c r="A783" t="s">
        <v>2236</v>
      </c>
    </row>
    <row r="784" spans="1:1">
      <c r="A784" t="s">
        <v>2236</v>
      </c>
    </row>
    <row r="785" spans="1:1">
      <c r="A785" t="s">
        <v>2236</v>
      </c>
    </row>
    <row r="786" spans="1:1">
      <c r="A786" t="s">
        <v>2236</v>
      </c>
    </row>
    <row r="787" spans="1:1">
      <c r="A787" t="s">
        <v>2236</v>
      </c>
    </row>
    <row r="788" spans="1:1">
      <c r="A788" t="s">
        <v>2236</v>
      </c>
    </row>
    <row r="789" spans="1:1">
      <c r="A789" t="s">
        <v>2236</v>
      </c>
    </row>
    <row r="790" spans="1:1">
      <c r="A790" t="s">
        <v>2389</v>
      </c>
    </row>
    <row r="791" spans="1:1">
      <c r="A791" t="s">
        <v>2236</v>
      </c>
    </row>
    <row r="792" spans="1:1">
      <c r="A792" t="s">
        <v>2236</v>
      </c>
    </row>
    <row r="793" spans="1:1">
      <c r="A793" t="s">
        <v>2390</v>
      </c>
    </row>
    <row r="794" spans="1:1">
      <c r="A794" t="s">
        <v>2238</v>
      </c>
    </row>
    <row r="795" spans="1:1">
      <c r="A795" t="s">
        <v>2234</v>
      </c>
    </row>
    <row r="796" spans="1:1">
      <c r="A796" t="s">
        <v>2231</v>
      </c>
    </row>
    <row r="797" spans="1:1">
      <c r="A797" t="s">
        <v>2391</v>
      </c>
    </row>
    <row r="798" spans="1:1">
      <c r="A798" t="s">
        <v>2226</v>
      </c>
    </row>
    <row r="799" spans="1:1">
      <c r="A799" t="s">
        <v>2233</v>
      </c>
    </row>
    <row r="800" spans="1:1">
      <c r="A800" t="s">
        <v>2229</v>
      </c>
    </row>
    <row r="801" spans="1:1">
      <c r="A801" t="s">
        <v>2234</v>
      </c>
    </row>
    <row r="802" spans="1:1">
      <c r="A802" t="s">
        <v>2235</v>
      </c>
    </row>
    <row r="803" spans="1:1">
      <c r="A803" t="s">
        <v>2392</v>
      </c>
    </row>
    <row r="804" spans="1:1">
      <c r="A804" t="s">
        <v>2236</v>
      </c>
    </row>
    <row r="805" spans="1:1">
      <c r="A805" t="s">
        <v>2236</v>
      </c>
    </row>
    <row r="806" spans="1:1">
      <c r="A806" t="s">
        <v>2236</v>
      </c>
    </row>
    <row r="807" spans="1:1">
      <c r="A807" t="s">
        <v>2236</v>
      </c>
    </row>
    <row r="808" spans="1:1">
      <c r="A808" t="s">
        <v>2380</v>
      </c>
    </row>
    <row r="809" spans="1:1">
      <c r="A809" t="s">
        <v>2236</v>
      </c>
    </row>
    <row r="810" spans="1:1">
      <c r="A810" t="s">
        <v>2236</v>
      </c>
    </row>
    <row r="811" spans="1:1">
      <c r="A811" t="s">
        <v>2236</v>
      </c>
    </row>
    <row r="812" spans="1:1">
      <c r="A812" t="s">
        <v>2236</v>
      </c>
    </row>
    <row r="813" spans="1:1">
      <c r="A813" t="s">
        <v>2236</v>
      </c>
    </row>
    <row r="814" spans="1:1">
      <c r="A814" t="s">
        <v>2236</v>
      </c>
    </row>
    <row r="815" spans="1:1">
      <c r="A815" t="s">
        <v>2236</v>
      </c>
    </row>
    <row r="816" spans="1:1">
      <c r="A816" t="s">
        <v>2236</v>
      </c>
    </row>
    <row r="817" spans="1:1">
      <c r="A817" t="s">
        <v>2236</v>
      </c>
    </row>
    <row r="818" spans="1:1">
      <c r="A818" t="s">
        <v>2239</v>
      </c>
    </row>
    <row r="819" spans="1:1">
      <c r="A819" t="s">
        <v>2236</v>
      </c>
    </row>
    <row r="820" spans="1:1">
      <c r="A820" t="s">
        <v>2236</v>
      </c>
    </row>
    <row r="821" spans="1:1">
      <c r="A821" t="s">
        <v>2343</v>
      </c>
    </row>
    <row r="822" spans="1:1">
      <c r="A822" t="s">
        <v>2238</v>
      </c>
    </row>
    <row r="823" spans="1:1">
      <c r="A823" t="s">
        <v>2234</v>
      </c>
    </row>
    <row r="824" spans="1:1">
      <c r="A824" t="s">
        <v>2231</v>
      </c>
    </row>
    <row r="825" spans="1:1">
      <c r="A825" t="s">
        <v>2393</v>
      </c>
    </row>
    <row r="826" spans="1:1">
      <c r="A826" t="s">
        <v>2226</v>
      </c>
    </row>
    <row r="827" spans="1:1">
      <c r="A827" t="s">
        <v>2233</v>
      </c>
    </row>
    <row r="828" spans="1:1">
      <c r="A828" t="s">
        <v>2229</v>
      </c>
    </row>
    <row r="829" spans="1:1">
      <c r="A829" t="s">
        <v>2234</v>
      </c>
    </row>
    <row r="830" spans="1:1">
      <c r="A830" t="s">
        <v>2235</v>
      </c>
    </row>
    <row r="831" spans="1:1">
      <c r="A831" t="s">
        <v>2394</v>
      </c>
    </row>
    <row r="832" spans="1:1">
      <c r="A832" t="s">
        <v>2236</v>
      </c>
    </row>
    <row r="833" spans="1:1">
      <c r="A833" t="s">
        <v>2236</v>
      </c>
    </row>
    <row r="834" spans="1:1">
      <c r="A834" t="s">
        <v>2236</v>
      </c>
    </row>
    <row r="835" spans="1:1">
      <c r="A835" t="s">
        <v>2236</v>
      </c>
    </row>
    <row r="836" spans="1:1">
      <c r="A836" t="s">
        <v>2380</v>
      </c>
    </row>
    <row r="837" spans="1:1">
      <c r="A837" t="s">
        <v>2236</v>
      </c>
    </row>
    <row r="838" spans="1:1">
      <c r="A838" t="s">
        <v>2236</v>
      </c>
    </row>
    <row r="839" spans="1:1">
      <c r="A839" t="s">
        <v>2236</v>
      </c>
    </row>
    <row r="840" spans="1:1">
      <c r="A840" t="s">
        <v>2236</v>
      </c>
    </row>
    <row r="841" spans="1:1">
      <c r="A841" t="s">
        <v>2236</v>
      </c>
    </row>
    <row r="842" spans="1:1">
      <c r="A842" t="s">
        <v>2236</v>
      </c>
    </row>
    <row r="843" spans="1:1">
      <c r="A843" t="s">
        <v>2236</v>
      </c>
    </row>
    <row r="844" spans="1:1">
      <c r="A844" t="s">
        <v>2236</v>
      </c>
    </row>
    <row r="845" spans="1:1">
      <c r="A845" t="s">
        <v>2236</v>
      </c>
    </row>
    <row r="846" spans="1:1">
      <c r="A846" t="s">
        <v>2264</v>
      </c>
    </row>
    <row r="847" spans="1:1">
      <c r="A847" t="s">
        <v>2236</v>
      </c>
    </row>
    <row r="848" spans="1:1">
      <c r="A848" t="s">
        <v>2236</v>
      </c>
    </row>
    <row r="849" spans="1:1">
      <c r="A849" t="s">
        <v>2395</v>
      </c>
    </row>
    <row r="850" spans="1:1">
      <c r="A850" t="s">
        <v>2238</v>
      </c>
    </row>
    <row r="851" spans="1:1">
      <c r="A851" t="s">
        <v>2234</v>
      </c>
    </row>
    <row r="852" spans="1:1">
      <c r="A852" t="s">
        <v>2231</v>
      </c>
    </row>
    <row r="853" spans="1:1">
      <c r="A853" t="s">
        <v>2396</v>
      </c>
    </row>
    <row r="854" spans="1:1">
      <c r="A854" t="s">
        <v>2226</v>
      </c>
    </row>
    <row r="855" spans="1:1">
      <c r="A855" t="s">
        <v>2233</v>
      </c>
    </row>
    <row r="856" spans="1:1">
      <c r="A856" t="s">
        <v>2229</v>
      </c>
    </row>
    <row r="857" spans="1:1">
      <c r="A857" t="s">
        <v>2234</v>
      </c>
    </row>
    <row r="858" spans="1:1">
      <c r="A858" t="s">
        <v>2235</v>
      </c>
    </row>
    <row r="859" spans="1:1">
      <c r="A859" t="s">
        <v>2397</v>
      </c>
    </row>
    <row r="860" spans="1:1">
      <c r="A860" t="s">
        <v>2236</v>
      </c>
    </row>
    <row r="861" spans="1:1">
      <c r="A861" t="s">
        <v>2236</v>
      </c>
    </row>
    <row r="862" spans="1:1">
      <c r="A862" t="s">
        <v>2236</v>
      </c>
    </row>
    <row r="863" spans="1:1">
      <c r="A863" t="s">
        <v>2236</v>
      </c>
    </row>
    <row r="864" spans="1:1">
      <c r="A864" t="s">
        <v>2380</v>
      </c>
    </row>
    <row r="865" spans="1:1">
      <c r="A865" t="s">
        <v>2236</v>
      </c>
    </row>
    <row r="866" spans="1:1">
      <c r="A866" t="s">
        <v>2236</v>
      </c>
    </row>
    <row r="867" spans="1:1">
      <c r="A867" t="s">
        <v>2236</v>
      </c>
    </row>
    <row r="868" spans="1:1">
      <c r="A868" t="s">
        <v>2236</v>
      </c>
    </row>
    <row r="869" spans="1:1">
      <c r="A869" t="s">
        <v>2236</v>
      </c>
    </row>
    <row r="870" spans="1:1">
      <c r="A870" t="s">
        <v>2236</v>
      </c>
    </row>
    <row r="871" spans="1:1">
      <c r="A871" t="s">
        <v>2236</v>
      </c>
    </row>
    <row r="872" spans="1:1">
      <c r="A872" t="s">
        <v>2236</v>
      </c>
    </row>
    <row r="873" spans="1:1">
      <c r="A873" t="s">
        <v>2236</v>
      </c>
    </row>
    <row r="874" spans="1:1">
      <c r="A874" t="s">
        <v>2370</v>
      </c>
    </row>
    <row r="875" spans="1:1">
      <c r="A875" t="s">
        <v>2236</v>
      </c>
    </row>
    <row r="876" spans="1:1">
      <c r="A876" t="s">
        <v>2236</v>
      </c>
    </row>
    <row r="877" spans="1:1">
      <c r="A877" t="s">
        <v>2371</v>
      </c>
    </row>
    <row r="878" spans="1:1">
      <c r="A878" t="s">
        <v>2238</v>
      </c>
    </row>
    <row r="879" spans="1:1">
      <c r="A879" t="s">
        <v>2234</v>
      </c>
    </row>
    <row r="880" spans="1:1">
      <c r="A880" t="s">
        <v>2231</v>
      </c>
    </row>
    <row r="881" spans="1:1">
      <c r="A881" t="s">
        <v>2398</v>
      </c>
    </row>
    <row r="882" spans="1:1">
      <c r="A882" t="s">
        <v>2226</v>
      </c>
    </row>
    <row r="883" spans="1:1">
      <c r="A883" t="s">
        <v>2233</v>
      </c>
    </row>
    <row r="884" spans="1:1">
      <c r="A884" t="s">
        <v>2229</v>
      </c>
    </row>
    <row r="885" spans="1:1">
      <c r="A885" t="s">
        <v>2234</v>
      </c>
    </row>
    <row r="886" spans="1:1">
      <c r="A886" t="s">
        <v>2235</v>
      </c>
    </row>
    <row r="887" spans="1:1">
      <c r="A887" t="s">
        <v>2399</v>
      </c>
    </row>
    <row r="888" spans="1:1">
      <c r="A888" t="s">
        <v>2236</v>
      </c>
    </row>
    <row r="889" spans="1:1">
      <c r="A889" t="s">
        <v>2236</v>
      </c>
    </row>
    <row r="890" spans="1:1">
      <c r="A890" t="s">
        <v>2236</v>
      </c>
    </row>
    <row r="891" spans="1:1">
      <c r="A891" t="s">
        <v>2236</v>
      </c>
    </row>
    <row r="892" spans="1:1">
      <c r="A892" t="s">
        <v>2380</v>
      </c>
    </row>
    <row r="893" spans="1:1">
      <c r="A893" t="s">
        <v>2236</v>
      </c>
    </row>
    <row r="894" spans="1:1">
      <c r="A894" t="s">
        <v>2236</v>
      </c>
    </row>
    <row r="895" spans="1:1">
      <c r="A895" t="s">
        <v>2236</v>
      </c>
    </row>
    <row r="896" spans="1:1">
      <c r="A896" t="s">
        <v>2236</v>
      </c>
    </row>
    <row r="897" spans="1:1">
      <c r="A897" t="s">
        <v>2236</v>
      </c>
    </row>
    <row r="898" spans="1:1">
      <c r="A898" t="s">
        <v>2236</v>
      </c>
    </row>
    <row r="899" spans="1:1">
      <c r="A899" t="s">
        <v>2236</v>
      </c>
    </row>
    <row r="900" spans="1:1">
      <c r="A900" t="s">
        <v>2236</v>
      </c>
    </row>
    <row r="901" spans="1:1">
      <c r="A901" t="s">
        <v>2236</v>
      </c>
    </row>
    <row r="902" spans="1:1">
      <c r="A902" t="s">
        <v>2400</v>
      </c>
    </row>
    <row r="903" spans="1:1">
      <c r="A903" t="s">
        <v>2236</v>
      </c>
    </row>
    <row r="904" spans="1:1">
      <c r="A904" t="s">
        <v>2236</v>
      </c>
    </row>
    <row r="905" spans="1:1">
      <c r="A905" t="s">
        <v>2401</v>
      </c>
    </row>
    <row r="906" spans="1:1">
      <c r="A906" t="s">
        <v>2238</v>
      </c>
    </row>
    <row r="907" spans="1:1">
      <c r="A907" t="s">
        <v>2234</v>
      </c>
    </row>
    <row r="908" spans="1:1">
      <c r="A908" t="s">
        <v>2231</v>
      </c>
    </row>
    <row r="909" spans="1:1">
      <c r="A909" t="s">
        <v>2402</v>
      </c>
    </row>
    <row r="910" spans="1:1">
      <c r="A910" t="s">
        <v>2226</v>
      </c>
    </row>
    <row r="911" spans="1:1">
      <c r="A911" t="s">
        <v>2233</v>
      </c>
    </row>
    <row r="912" spans="1:1">
      <c r="A912" t="s">
        <v>2229</v>
      </c>
    </row>
    <row r="913" spans="1:1">
      <c r="A913" t="s">
        <v>2234</v>
      </c>
    </row>
    <row r="914" spans="1:1">
      <c r="A914" t="s">
        <v>2235</v>
      </c>
    </row>
    <row r="915" spans="1:1">
      <c r="A915" t="s">
        <v>2403</v>
      </c>
    </row>
    <row r="916" spans="1:1">
      <c r="A916" t="s">
        <v>2236</v>
      </c>
    </row>
    <row r="917" spans="1:1">
      <c r="A917" t="s">
        <v>2236</v>
      </c>
    </row>
    <row r="918" spans="1:1">
      <c r="A918" t="s">
        <v>2236</v>
      </c>
    </row>
    <row r="919" spans="1:1">
      <c r="A919" t="s">
        <v>2236</v>
      </c>
    </row>
    <row r="920" spans="1:1">
      <c r="A920" t="s">
        <v>2380</v>
      </c>
    </row>
    <row r="921" spans="1:1">
      <c r="A921" t="s">
        <v>2236</v>
      </c>
    </row>
    <row r="922" spans="1:1">
      <c r="A922" t="s">
        <v>2236</v>
      </c>
    </row>
    <row r="923" spans="1:1">
      <c r="A923" t="s">
        <v>2236</v>
      </c>
    </row>
    <row r="924" spans="1:1">
      <c r="A924" t="s">
        <v>2236</v>
      </c>
    </row>
    <row r="925" spans="1:1">
      <c r="A925" t="s">
        <v>2236</v>
      </c>
    </row>
    <row r="926" spans="1:1">
      <c r="A926" t="s">
        <v>2236</v>
      </c>
    </row>
    <row r="927" spans="1:1">
      <c r="A927" t="s">
        <v>2236</v>
      </c>
    </row>
    <row r="928" spans="1:1">
      <c r="A928" t="s">
        <v>2236</v>
      </c>
    </row>
    <row r="929" spans="1:1">
      <c r="A929" t="s">
        <v>2236</v>
      </c>
    </row>
    <row r="930" spans="1:1">
      <c r="A930" t="s">
        <v>2246</v>
      </c>
    </row>
    <row r="931" spans="1:1">
      <c r="A931" t="s">
        <v>2236</v>
      </c>
    </row>
    <row r="932" spans="1:1">
      <c r="A932" t="s">
        <v>2236</v>
      </c>
    </row>
    <row r="933" spans="1:1">
      <c r="A933" t="s">
        <v>2247</v>
      </c>
    </row>
    <row r="934" spans="1:1">
      <c r="A934" t="s">
        <v>2238</v>
      </c>
    </row>
    <row r="935" spans="1:1">
      <c r="A935" t="s">
        <v>2234</v>
      </c>
    </row>
    <row r="936" spans="1:1">
      <c r="A936" t="s">
        <v>2231</v>
      </c>
    </row>
    <row r="937" spans="1:1">
      <c r="A937" t="s">
        <v>2404</v>
      </c>
    </row>
    <row r="938" spans="1:1">
      <c r="A938" t="s">
        <v>2226</v>
      </c>
    </row>
    <row r="939" spans="1:1">
      <c r="A939" t="s">
        <v>2233</v>
      </c>
    </row>
    <row r="940" spans="1:1">
      <c r="A940" t="s">
        <v>2229</v>
      </c>
    </row>
    <row r="941" spans="1:1">
      <c r="A941" t="s">
        <v>2234</v>
      </c>
    </row>
    <row r="942" spans="1:1">
      <c r="A942" t="s">
        <v>2249</v>
      </c>
    </row>
    <row r="943" spans="1:1">
      <c r="A943" t="s">
        <v>2236</v>
      </c>
    </row>
    <row r="944" spans="1:1">
      <c r="A944" t="s">
        <v>2236</v>
      </c>
    </row>
    <row r="945" spans="1:1">
      <c r="A945" t="s">
        <v>2236</v>
      </c>
    </row>
    <row r="946" spans="1:1">
      <c r="A946" t="s">
        <v>2236</v>
      </c>
    </row>
    <row r="947" spans="1:1">
      <c r="A947" t="s">
        <v>2236</v>
      </c>
    </row>
    <row r="948" spans="1:1">
      <c r="A948" t="s">
        <v>2236</v>
      </c>
    </row>
    <row r="949" spans="1:1">
      <c r="A949" t="s">
        <v>2405</v>
      </c>
    </row>
    <row r="950" spans="1:1">
      <c r="A950" t="s">
        <v>2236</v>
      </c>
    </row>
    <row r="951" spans="1:1">
      <c r="A951" t="s">
        <v>2236</v>
      </c>
    </row>
    <row r="952" spans="1:1">
      <c r="A952" t="s">
        <v>2236</v>
      </c>
    </row>
    <row r="953" spans="1:1">
      <c r="A953" t="s">
        <v>2236</v>
      </c>
    </row>
    <row r="954" spans="1:1">
      <c r="A954" t="s">
        <v>2236</v>
      </c>
    </row>
    <row r="955" spans="1:1">
      <c r="A955" t="s">
        <v>2236</v>
      </c>
    </row>
    <row r="956" spans="1:1">
      <c r="A956" t="s">
        <v>2236</v>
      </c>
    </row>
    <row r="957" spans="1:1">
      <c r="A957" t="s">
        <v>2236</v>
      </c>
    </row>
    <row r="958" spans="1:1">
      <c r="A958" t="s">
        <v>2236</v>
      </c>
    </row>
    <row r="959" spans="1:1">
      <c r="A959" t="s">
        <v>2258</v>
      </c>
    </row>
    <row r="960" spans="1:1">
      <c r="A960" t="s">
        <v>2236</v>
      </c>
    </row>
    <row r="961" spans="1:1">
      <c r="A961" t="s">
        <v>2236</v>
      </c>
    </row>
    <row r="962" spans="1:1">
      <c r="A962" t="s">
        <v>2259</v>
      </c>
    </row>
    <row r="963" spans="1:1">
      <c r="A963" t="s">
        <v>2238</v>
      </c>
    </row>
    <row r="964" spans="1:1">
      <c r="A964" t="s">
        <v>2253</v>
      </c>
    </row>
    <row r="965" spans="1:1">
      <c r="A965" t="s">
        <v>2254</v>
      </c>
    </row>
    <row r="966" spans="1:1">
      <c r="A966" t="s">
        <v>2255</v>
      </c>
    </row>
    <row r="967" spans="1:1">
      <c r="A967" t="s">
        <v>2256</v>
      </c>
    </row>
  </sheetData>
  <mergeCells count="1">
    <mergeCell ref="E1:J1"/>
  </mergeCells>
  <dataValidations count="1">
    <dataValidation type="list" allowBlank="1" showInputMessage="1" showErrorMessage="1" sqref="C11" xr:uid="{8411342B-21EA-41B7-A4BD-C4981C8D3576}">
      <formula1>"Office,VPN,Slower"</formula1>
    </dataValidation>
  </dataValidations>
  <pageMargins left="0.511811024" right="0.511811024" top="0.78740157499999996" bottom="0.78740157499999996" header="0.31496062000000002" footer="0.31496062000000002"/>
  <pageSetup paperSize="9" orientation="portrait" r:id="rId1"/>
  <drawing r:id="rId2"/>
  <legacyDrawing r:id="rId3"/>
  <tableParts count="2">
    <tablePart r:id="rId4"/>
    <tablePart r:id="rId5"/>
  </tableParts>
  <extLst>
    <ext xmlns:x14="http://schemas.microsoft.com/office/spreadsheetml/2009/9/main" uri="{CCE6A557-97BC-4b89-ADB6-D9C93CAAB3DF}">
      <x14:dataValidations xmlns:xm="http://schemas.microsoft.com/office/excel/2006/main" count="1">
        <x14:dataValidation type="list" allowBlank="1" showInputMessage="1" showErrorMessage="1" xr:uid="{87915651-F22E-451B-A225-F4C944FCD7D7}">
          <x14:formula1>
            <xm:f>ITEM_REFERENCE!$A:$A</xm:f>
          </x14:formula1>
          <xm:sqref>C8</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86F2A7-130C-4618-9D7E-F28C7ACD00B6}">
  <sheetPr codeName="Planilha1"/>
  <dimension ref="A1:S38"/>
  <sheetViews>
    <sheetView showGridLines="0" topLeftCell="B1" zoomScale="85" zoomScaleNormal="85" workbookViewId="0">
      <selection activeCell="Z24" sqref="Z24"/>
    </sheetView>
  </sheetViews>
  <sheetFormatPr defaultRowHeight="13.2"/>
  <cols>
    <col min="1" max="1" width="20.109375" hidden="1" customWidth="1"/>
    <col min="2" max="2" width="9.33203125" bestFit="1" customWidth="1"/>
    <col min="3" max="3" width="11" hidden="1" customWidth="1"/>
    <col min="4" max="4" width="15.5546875" hidden="1" customWidth="1"/>
    <col min="5" max="5" width="27" bestFit="1" customWidth="1"/>
    <col min="6" max="6" width="13.33203125" bestFit="1" customWidth="1"/>
    <col min="7" max="8" width="10.21875" bestFit="1" customWidth="1"/>
    <col min="9" max="10" width="21" hidden="1" customWidth="1"/>
    <col min="11" max="11" width="27" hidden="1" customWidth="1"/>
    <col min="12" max="12" width="12.109375" hidden="1" customWidth="1"/>
    <col min="13" max="14" width="11.33203125" hidden="1" customWidth="1"/>
    <col min="15" max="19" width="18.88671875" hidden="1" customWidth="1"/>
  </cols>
  <sheetData>
    <row r="1" spans="1:19">
      <c r="A1" s="633" t="s">
        <v>2198</v>
      </c>
      <c r="B1" s="633" t="s">
        <v>96</v>
      </c>
      <c r="C1" s="633" t="s">
        <v>669</v>
      </c>
      <c r="D1" s="634" t="s">
        <v>2199</v>
      </c>
      <c r="E1" s="633" t="s">
        <v>503</v>
      </c>
      <c r="F1" s="635" t="s">
        <v>2200</v>
      </c>
      <c r="G1" s="633" t="s">
        <v>2201</v>
      </c>
      <c r="H1" s="636" t="s">
        <v>2202</v>
      </c>
      <c r="I1" s="633" t="s">
        <v>2203</v>
      </c>
      <c r="J1" s="633" t="s">
        <v>2204</v>
      </c>
      <c r="K1" s="634" t="s">
        <v>2205</v>
      </c>
      <c r="L1" s="634" t="s">
        <v>2206</v>
      </c>
      <c r="M1" s="634" t="s">
        <v>2207</v>
      </c>
      <c r="N1" s="634" t="s">
        <v>2208</v>
      </c>
      <c r="O1" s="633" t="s">
        <v>2209</v>
      </c>
      <c r="P1" s="633" t="s">
        <v>2210</v>
      </c>
      <c r="Q1" s="633" t="s">
        <v>2211</v>
      </c>
      <c r="R1" s="633" t="s">
        <v>2212</v>
      </c>
      <c r="S1" s="633" t="s">
        <v>2213</v>
      </c>
    </row>
    <row r="2" spans="1:19">
      <c r="A2" t="str" cm="1">
        <f t="array" ref="A2">IFERROR(IF(Tabela2[[#This Row],[State]]="Automatico",IF(Tabela2[[#This Row],[Shape]]="","",(ROW()-1)*10),INDEX(Tabela2[[#All],[Item (Reference)]],ROW()-1)),"")</f>
        <v/>
      </c>
      <c r="B2" s="633">
        <f t="shared" ref="B2" si="0">IFERROR((ROW()-1)*10,"")</f>
        <v>10</v>
      </c>
      <c r="C2" s="633" t="str">
        <f>IFERROR(IF(Tabela2[[#This Row],[Shape]]="","Automatico",IF(_xlfn.XLOOKUP(Tabela2[[#This Row],[Brand]],BRANDS[Brand],BRANDS[State])="Manual","Manual",IF(Tabela2[[#This Row],[Shape]]="-","Automatico",IF(_xlfn.XLOOKUP(Tabela2[[#This Row],[Shape]],SHAPES[Shape],SHAPES[State])="Manual","Manual","Automatico")))),"")</f>
        <v>Automatico</v>
      </c>
      <c r="D2" s="634" t="str">
        <f>IFERROR(IF(Tabela2[[#This Row],[Shape]]="","Normal",IF(_xlfn.XLOOKUP(Tabela2[[#This Row],[Brand]],BRANDS[Brand],BRANDS[Brand Type])="","Normal",_xlfn.XLOOKUP(Tabela2[[#This Row],[Brand]],BRANDS[Brand],BRANDS[Brand Type]))),"")</f>
        <v>Normal</v>
      </c>
      <c r="E2" s="633" t="s">
        <v>2282</v>
      </c>
      <c r="F2" s="635"/>
      <c r="G2" s="633"/>
      <c r="H2" s="636"/>
      <c r="I2" t="str">
        <f>IFERROR(IF(Tabela2[[#This Row],[Shape]]="","",IF(Tabela2[[#This Row],[Shape]]="-",Tabela2[[#This Row],[Qnt 1]]/1000,Tabela2[[#This Row],[Qnt 1]])),"")</f>
        <v/>
      </c>
      <c r="J2" t="str">
        <f>IFERROR(IF(Tabela2[[#This Row],[Shape]]="","",IF(Tabela2[[#This Row],[Shape]]="-",Tabela2[[#This Row],[Qnt 2]]/1000,Tabela2[[#This Row],[Qnt 2]])),"")</f>
        <v/>
      </c>
      <c r="K2" t="str" cm="1">
        <f t="array" aca="1" ref="K2" ca="1">IFERROR(IF(Tabela2[[#This Row],[Brand Type]]="Normal",Tabela2[[#This Row],[Brand]],_xlfn.CONCAT(MID(RIGHT(_xlfn.CONCAT(MID(Tabela2[[#This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 +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Row],[Brand]]))),1)),1)))-ROW(INDIRECT("1:" &amp;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f>
        <v>BOTTOM SAFETY</v>
      </c>
      <c r="L2" t="str" cm="1">
        <f t="array" aca="1" ref="L2" ca="1">IFERROR(IF(Tabela2[[#This Row],[Brand Type]]="Normal","",_xlfn.CONCAT(MID(LEFT(_xlfn.CONCAT(MID(Tabela2[[#This Row],[Brand]],1 + LEN(Tabela2[[#This Row],[Brand]])-ROW(INDIRECT("1:" &amp; LEN(Tabela2[[#This Row],[Brand]]))),1)),SEARCH(" ",_xlfn.CONCAT(MID(Tabela2[[#This Row],[Brand]],1 + LEN(Tabela2[[#This Row],[Brand]])-ROW(INDIRECT("1:" &amp; LEN(Tabela2[[#This Row],[Brand]]))),1)),1)-1),1 + LEN(LEFT(_xlfn.CONCAT(MID(Tabela2[[#This Row],[Brand]],1 + LEN(Tabela2[[#This Row],[Brand]])-ROW(INDIRECT("1:" &amp; LEN(Tabela2[[#This Row],[Brand]]))),1)),SEARCH(" ",_xlfn.CONCAT(MID(Tabela2[[#This Row],[Brand]],1 + LEN(Tabela2[[#This Row],[Brand]])-ROW(INDIRECT("1:" &amp; LEN(Tabela2[[#This Row],[Brand]]))),1)),1)-1))-ROW(INDIRECT("1:" &amp; LEN(LEFT(_xlfn.CONCAT(MID(Tabela2[[#This Row],[Brand]],1 + LEN(Tabela2[[#This Row],[Brand]])-ROW(INDIRECT("1:" &amp; LEN(Tabela2[[#This Row],[Brand]]))),1)),SEARCH(" ",_xlfn.CONCAT(MID(Tabela2[[#This Row],[Brand]],1 + LEN(Tabela2[[#This Row],[Brand]])-ROW(INDIRECT("1:" &amp; LEN(Tabela2[[#This Row],[Brand]]))),1)),1)-1)))),1))),"")</f>
        <v/>
      </c>
      <c r="M2">
        <f>IFERROR(IF(SAP_FINAL!$C$11="Office",2000,IF(SAP_FINAL!$C$11="VPN",3500,5000)),"")</f>
        <v>2000</v>
      </c>
      <c r="N2">
        <f>IFERROR(IF(SAP_FINAL!$C$11="Office",2500,IF(SAP_FINAL!$C$11="VPN",4000,5000)),"")</f>
        <v>2500</v>
      </c>
      <c r="O2" t="str" cm="1">
        <f t="array" ref="O2">IFERROR(IF(ROW(Tabela2[[#This Row],[Brand]])=2,"Send, "&amp;Tabela2[[#This Row],[Item]]&amp;"|Send, ^{Right}|Send, ^{Right}|Send, ^{Right}|Send, " &amp;LEFT(TRIM(Tabela2[[#This Row],[Brand]]),38)&amp;"|Send, {Enter}",IF(Tabela2[[#This Row],[Item (Reference)]]&lt;&gt;"",IF(INDEX(Tabela2[[#All],[Item (Reference)]],ROW()-1)="",IF(Tabela2[[#This Row],[Shape]]="","Sleep, "&amp;Tabela2[[#This Row],[Delay2]]&amp;"|Send, ^{Left}|Send, "&amp;Tabela2[[#This Row],[Item]]&amp;"|Send, ^{Right}|Send, ^{Right}|Send, ^{Right}|Send, "&amp;LEFT(TRIM(Tabela2[[#This Row],[Brand]]),38)&amp;"|Send, {Enter}","Sleep, "&amp;Tabela2[[#This Row],[Delay1]]&amp;"|Send, ^{Left}|Send, "&amp;Tabela2[[#This Row],[Item]]&amp;"|Send, ^{Right}|Send, MAT_KONFIG|Send, {Enter}"),"Sleep, "&amp;Tabela2[[#This Row],[Delay2]]&amp;"|Send, ^{Left}|Send, "&amp;Tabela2[[#This Row],[Item]]&amp;"|Send, ^{Right}|Send, MAT_KONFIG|Send, {Enter}"),"Sleep, "&amp;Tabela2[[#This Row],[Delay2]]&amp;"|Send, ^{Left}|Send, "&amp;Tabela2[[#This Row],[Item]]&amp;"|Send, ^{Right}|Send, ^{Right}|Send, ^{Right}|Send, "&amp;LEFT(TRIM(Tabela2[[#This Row],[Brand]]),38)&amp;"|Send, {Enter}")),"")</f>
        <v>Send, 10|Send, ^{Right}|Send, ^{Right}|Send, ^{Right}|Send, BOTTOM SAFETY|Send, {Enter}</v>
      </c>
      <c r="P2" t="str">
        <f>IFERROR("Sleep, "&amp;Tabela2[[#This Row],[Delay2]]&amp;"|Send, U|Send, {Tab}|Send, {Tab}|Send, {Tab}|Send, {Tab}|Send, {Tab}|Send, {Tab}|Send, "&amp;TRIM(Tabela2[[#This Row],[Brand]])&amp;"|Send, {Tab}|Send, {Tab}|Send, {Tab}|Send, {Tab}|Send, {Tab}|Send, {Tab}|Send, {Tab}|Send, {Tab}|Send, {Tab}|Send, "&amp;SUBSTITUTE(Tabela2[[#This Row],[Qnt 1 (Reference)]],".",",")&amp;"|Send, {Tab}|Send, {Tab}|Send, "&amp;SUBSTITUTE(Tabela2[[#This Row],[Qnt 2 (Reference)]],".",",")&amp;"|Send, {F3}","")</f>
        <v>Sleep, 2500|Send, U|Send, {Tab}|Send, {Tab}|Send, {Tab}|Send, {Tab}|Send, {Tab}|Send, {Tab}|Send, BOTTOM SAFETY|Send, {Tab}|Send, {Tab}|Send, {Tab}|Send, {Tab}|Send, {Tab}|Send, {Tab}|Send, {Tab}|Send, {Tab}|Send, {Tab}|Send, |Send, {Tab}|Send, {Tab}|Send, |Send, {F3}</v>
      </c>
      <c r="Q2" t="str">
        <f ca="1">IFERROR("Sleep, "&amp;Tabela2[[#This Row],[Delay2]]&amp;"|Send, {Down}|Send, "&amp;SUBSTITUTE(SUBSTITUTE(Tabela2[[#This Row],[Shape]],"+","{+}")," ","")&amp;"|Send, {Tab}|Send, {Tab}|Send, {Tab}|Send, {Tab}|Send, "&amp;Tabela2[[#This Row],[Brand (Reference)]]&amp;"|Send, {Tab}|Send, {Tab}|Send, {Tab}|"&amp;IF(Tabela2[[#This Row],[Brand Type]]="Normal","","Send, "&amp;Tabela2[[#This Row],[Add-On]]&amp;"|")&amp;"Send, {Tab}|Send, {Tab}|Send, {Tab}|Send, {Tab}|Send, {Tab}|Send, {Tab}|Send, "&amp;SUBSTITUTE(Tabela2[[#This Row],[Qnt 1 (Reference)]],".",",")&amp;"|Send, {Tab}|Send, {Tab}|Send, "&amp;SUBSTITUTE(Tabela2[[#This Row],[Qnt 2 (Reference)]],".",",")&amp;"|Send, {F3}","")</f>
        <v>Sleep, 2500|Send, {Down}|Send, |Send, {Tab}|Send, {Tab}|Send, {Tab}|Send, {Tab}|Send, BOTTOM SAFETY|Send, {Tab}|Send, {Tab}|Send, {Tab}|Send, {Tab}|Send, {Tab}|Send, {Tab}|Send, {Tab}|Send, {Tab}|Send, {Tab}|Send, |Send, {Tab}|Send, {Tab}|Send, |Send, {F3}</v>
      </c>
      <c r="R2" t="str">
        <f>IFERROR(IF(Tabela2[[#This Row],[Item (Reference)]]="","",IF(Tabela2[[#This Row],[Shape]]="-",Tabela2[[#This Row],[Reference2]],Tabela2[[#This Row],[Reference3]])),"")</f>
        <v/>
      </c>
      <c r="S2" t="str">
        <f>IFERROR(IF(Tabela2[[#This Row],[State]]="Automatico",Tabela2[[#This Row],[Reference1]]&amp;"|"&amp;Tabela2[[#This Row],[Reference4]],""),"")</f>
        <v>Send, 10|Send, ^{Right}|Send, ^{Right}|Send, ^{Right}|Send, BOTTOM SAFETY|Send, {Enter}|</v>
      </c>
    </row>
    <row r="3" spans="1:19">
      <c r="A3" cm="1">
        <f t="array" ref="A3">IFERROR(IF(Tabela2[[#This Row],[State]]="Automatico",IF(Tabela2[[#This Row],[Shape]]="","",(ROW()-1)*10),INDEX(Tabela2[[#All],[Item (Reference)]],ROW()-1)),"")</f>
        <v>20</v>
      </c>
      <c r="B3" s="633">
        <f t="shared" ref="B3:B38" si="1">IFERROR((ROW()-1)*10,"")</f>
        <v>20</v>
      </c>
      <c r="C3" s="633" t="str">
        <f>IFERROR(IF(Tabela2[[#This Row],[Shape]]="","Automatico",IF(_xlfn.XLOOKUP(Tabela2[[#This Row],[Brand]],BRANDS[Brand],BRANDS[State])="Manual","Manual",IF(Tabela2[[#This Row],[Shape]]="-","Automatico",IF(_xlfn.XLOOKUP(Tabela2[[#This Row],[Shape]],SHAPES[Shape],SHAPES[State])="Manual","Manual","Automatico")))),"")</f>
        <v>Automatico</v>
      </c>
      <c r="D3" s="633" t="str">
        <f>IFERROR(IF(Tabela2[[#This Row],[Shape]]="","Normal",IF(_xlfn.XLOOKUP(Tabela2[[#This Row],[Brand]],BRANDS[Brand],BRANDS[Brand Type])="","Normal",_xlfn.XLOOKUP(Tabela2[[#This Row],[Brand]],BRANDS[Brand],BRANDS[Brand Type]))),"")</f>
        <v>Normal</v>
      </c>
      <c r="E3" s="633" t="s">
        <v>2283</v>
      </c>
      <c r="F3" s="635" t="s">
        <v>2214</v>
      </c>
      <c r="G3" s="633">
        <v>312</v>
      </c>
      <c r="H3" s="636">
        <v>325</v>
      </c>
      <c r="I3">
        <f>IFERROR(IF(Tabela2[[#This Row],[Shape]]="","",IF(Tabela2[[#This Row],[Shape]]="-",Tabela2[[#This Row],[Qnt 1]]/1000,Tabela2[[#This Row],[Qnt 1]])),"")</f>
        <v>312</v>
      </c>
      <c r="J3">
        <f>IFERROR(IF(Tabela2[[#This Row],[Shape]]="","",IF(Tabela2[[#This Row],[Shape]]="-",Tabela2[[#This Row],[Qnt 2]]/1000,Tabela2[[#This Row],[Qnt 2]])),"")</f>
        <v>325</v>
      </c>
      <c r="K3" t="str" cm="1">
        <f t="array" aca="1" ref="K3" ca="1">IFERROR(IF(Tabela2[[#This Row],[Brand Type]]="Normal",Tabela2[[#This Row],[Brand]],_xlfn.CONCAT(MID(RIGHT(_xlfn.CONCAT(MID(Tabela2[[#This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 +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Row],[Brand]]))),1)),1)))-ROW(INDIRECT("1:" &amp;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f>
        <v>RADEX E12</v>
      </c>
      <c r="L3" t="str" cm="1">
        <f t="array" aca="1" ref="L3" ca="1">IFERROR(IF(Tabela2[[#This Row],[Brand Type]]="Normal","",_xlfn.CONCAT(MID(LEFT(_xlfn.CONCAT(MID(Tabela2[[#This Row],[Brand]],1 + LEN(Tabela2[[#This Row],[Brand]])-ROW(INDIRECT("1:" &amp; LEN(Tabela2[[#This Row],[Brand]]))),1)),SEARCH(" ",_xlfn.CONCAT(MID(Tabela2[[#This Row],[Brand]],1 + LEN(Tabela2[[#This Row],[Brand]])-ROW(INDIRECT("1:" &amp; LEN(Tabela2[[#This Row],[Brand]]))),1)),1)-1),1 + LEN(LEFT(_xlfn.CONCAT(MID(Tabela2[[#This Row],[Brand]],1 + LEN(Tabela2[[#This Row],[Brand]])-ROW(INDIRECT("1:" &amp; LEN(Tabela2[[#This Row],[Brand]]))),1)),SEARCH(" ",_xlfn.CONCAT(MID(Tabela2[[#This Row],[Brand]],1 + LEN(Tabela2[[#This Row],[Brand]])-ROW(INDIRECT("1:" &amp; LEN(Tabela2[[#This Row],[Brand]]))),1)),1)-1))-ROW(INDIRECT("1:" &amp; LEN(LEFT(_xlfn.CONCAT(MID(Tabela2[[#This Row],[Brand]],1 + LEN(Tabela2[[#This Row],[Brand]])-ROW(INDIRECT("1:" &amp; LEN(Tabela2[[#This Row],[Brand]]))),1)),SEARCH(" ",_xlfn.CONCAT(MID(Tabela2[[#This Row],[Brand]],1 + LEN(Tabela2[[#This Row],[Brand]])-ROW(INDIRECT("1:" &amp; LEN(Tabela2[[#This Row],[Brand]]))),1)),1)-1)))),1))),"")</f>
        <v/>
      </c>
      <c r="M3">
        <f>IFERROR(IF(SAP_FINAL!$C$11="Office",2000,IF(SAP_FINAL!$C$11="VPN",3500,5000)),"")</f>
        <v>2000</v>
      </c>
      <c r="N3">
        <f>IFERROR(IF(SAP_FINAL!$C$11="Office",2500,IF(SAP_FINAL!$C$11="VPN",4000,5000)),"")</f>
        <v>2500</v>
      </c>
      <c r="O3" t="str" cm="1">
        <f t="array" ref="O3">IFERROR(IF(ROW(Tabela2[[#This Row],[Brand]])=2,"Send, "&amp;Tabela2[[#This Row],[Item]]&amp;"|Send, ^{Right}|Send, ^{Right}|Send, ^{Right}|Send, " &amp;LEFT(TRIM(Tabela2[[#This Row],[Brand]]),38)&amp;"|Send, {Enter}",IF(Tabela2[[#This Row],[Item (Reference)]]&lt;&gt;"",IF(INDEX(Tabela2[[#All],[Item (Reference)]],ROW()-1)="",IF(Tabela2[[#This Row],[Shape]]="","Sleep, "&amp;Tabela2[[#This Row],[Delay2]]&amp;"|Send, ^{Left}|Send, "&amp;Tabela2[[#This Row],[Item]]&amp;"|Send, ^{Right}|Send, ^{Right}|Send, ^{Right}|Send, "&amp;LEFT(TRIM(Tabela2[[#This Row],[Brand]]),38)&amp;"|Send, {Enter}","Sleep, "&amp;Tabela2[[#This Row],[Delay1]]&amp;"|Send, ^{Left}|Send, "&amp;Tabela2[[#This Row],[Item]]&amp;"|Send, ^{Right}|Send, MAT_KONFIG|Send, {Enter}"),"Sleep, "&amp;Tabela2[[#This Row],[Delay2]]&amp;"|Send, ^{Left}|Send, "&amp;Tabela2[[#This Row],[Item]]&amp;"|Send, ^{Right}|Send, MAT_KONFIG|Send, {Enter}"),"Sleep, "&amp;Tabela2[[#This Row],[Delay2]]&amp;"|Send, ^{Left}|Send, "&amp;Tabela2[[#This Row],[Item]]&amp;"|Send, ^{Right}|Send, ^{Right}|Send, ^{Right}|Send, "&amp;LEFT(TRIM(Tabela2[[#This Row],[Brand]]),38)&amp;"|Send, {Enter}")),"")</f>
        <v>Sleep, 2000|Send, ^{Left}|Send, 20|Send, ^{Right}|Send, MAT_KONFIG|Send, {Enter}</v>
      </c>
      <c r="P3" t="str">
        <f>IFERROR("Sleep, "&amp;Tabela2[[#This Row],[Delay2]]&amp;"|Send, U|Send, {Tab}|Send, {Tab}|Send, {Tab}|Send, {Tab}|Send, {Tab}|Send, {Tab}|Send, "&amp;TRIM(Tabela2[[#This Row],[Brand]])&amp;"|Send, {Tab}|Send, {Tab}|Send, {Tab}|Send, {Tab}|Send, {Tab}|Send, {Tab}|Send, {Tab}|Send, {Tab}|Send, {Tab}|Send, "&amp;SUBSTITUTE(Tabela2[[#This Row],[Qnt 1 (Reference)]],".",",")&amp;"|Send, {Tab}|Send, {Tab}|Send, "&amp;SUBSTITUTE(Tabela2[[#This Row],[Qnt 2 (Reference)]],".",",")&amp;"|Send, {F3}","")</f>
        <v>Sleep, 2500|Send, U|Send, {Tab}|Send, {Tab}|Send, {Tab}|Send, {Tab}|Send, {Tab}|Send, {Tab}|Send, RADEX E12|Send, {Tab}|Send, {Tab}|Send, {Tab}|Send, {Tab}|Send, {Tab}|Send, {Tab}|Send, {Tab}|Send, {Tab}|Send, {Tab}|Send, 312|Send, {Tab}|Send, {Tab}|Send, 325|Send, {F3}</v>
      </c>
      <c r="Q3" t="str">
        <f ca="1">IFERROR("Sleep, "&amp;Tabela2[[#This Row],[Delay2]]&amp;"|Send, {Down}|Send, "&amp;SUBSTITUTE(SUBSTITUTE(Tabela2[[#This Row],[Shape]],"+","{+}")," ","")&amp;"|Send, {Tab}|Send, {Tab}|Send, {Tab}|Send, {Tab}|Send, "&amp;Tabela2[[#This Row],[Brand (Reference)]]&amp;"|Send, {Tab}|Send, {Tab}|Send, {Tab}|"&amp;IF(Tabela2[[#This Row],[Brand Type]]="Normal","","Send, "&amp;Tabela2[[#This Row],[Add-On]]&amp;"|")&amp;"Send, {Tab}|Send, {Tab}|Send, {Tab}|Send, {Tab}|Send, {Tab}|Send, {Tab}|Send, "&amp;SUBSTITUTE(Tabela2[[#This Row],[Qnt 1 (Reference)]],".",",")&amp;"|Send, {Tab}|Send, {Tab}|Send, "&amp;SUBSTITUTE(Tabela2[[#This Row],[Qnt 2 (Reference)]],".",",")&amp;"|Send, {F3}","")</f>
        <v>Sleep, 2500|Send, {Down}|Send, 1|Send, {Tab}|Send, {Tab}|Send, {Tab}|Send, {Tab}|Send, RADEX E12|Send, {Tab}|Send, {Tab}|Send, {Tab}|Send, {Tab}|Send, {Tab}|Send, {Tab}|Send, {Tab}|Send, {Tab}|Send, {Tab}|Send, 312|Send, {Tab}|Send, {Tab}|Send, 325|Send, {F3}</v>
      </c>
      <c r="R3" t="str">
        <f ca="1">IFERROR(IF(Tabela2[[#This Row],[Item (Reference)]]="","",IF(Tabela2[[#This Row],[Shape]]="-",Tabela2[[#This Row],[Reference2]],Tabela2[[#This Row],[Reference3]])),"")</f>
        <v>Sleep, 2500|Send, {Down}|Send, 1|Send, {Tab}|Send, {Tab}|Send, {Tab}|Send, {Tab}|Send, RADEX E12|Send, {Tab}|Send, {Tab}|Send, {Tab}|Send, {Tab}|Send, {Tab}|Send, {Tab}|Send, {Tab}|Send, {Tab}|Send, {Tab}|Send, 312|Send, {Tab}|Send, {Tab}|Send, 325|Send, {F3}</v>
      </c>
      <c r="S3" t="str">
        <f ca="1">IFERROR(IF(Tabela2[[#This Row],[State]]="Automatico",Tabela2[[#This Row],[Reference1]]&amp;"|"&amp;Tabela2[[#This Row],[Reference4]],""),"")</f>
        <v>Sleep, 2000|Send, ^{Left}|Send, 20|Send, ^{Right}|Send, MAT_KONFIG|Send, {Enter}|Sleep, 2500|Send, {Down}|Send, 1|Send, {Tab}|Send, {Tab}|Send, {Tab}|Send, {Tab}|Send, RADEX E12|Send, {Tab}|Send, {Tab}|Send, {Tab}|Send, {Tab}|Send, {Tab}|Send, {Tab}|Send, {Tab}|Send, {Tab}|Send, {Tab}|Send, 312|Send, {Tab}|Send, {Tab}|Send, 325|Send, {F3}</v>
      </c>
    </row>
    <row r="4" spans="1:19">
      <c r="A4" cm="1">
        <f t="array" ref="A4">IFERROR(IF(Tabela2[[#This Row],[State]]="Automatico",IF(Tabela2[[#This Row],[Shape]]="","",(ROW()-1)*10),INDEX(Tabela2[[#All],[Item (Reference)]],ROW()-1)),"")</f>
        <v>30</v>
      </c>
      <c r="B4" s="633">
        <f t="shared" si="1"/>
        <v>30</v>
      </c>
      <c r="C4" s="633" t="str">
        <f>IFERROR(IF(Tabela2[[#This Row],[Shape]]="","Automatico",IF(_xlfn.XLOOKUP(Tabela2[[#This Row],[Brand]],BRANDS[Brand],BRANDS[State])="Manual","Manual",IF(Tabela2[[#This Row],[Shape]]="-","Automatico",IF(_xlfn.XLOOKUP(Tabela2[[#This Row],[Shape]],SHAPES[Shape],SHAPES[State])="Manual","Manual","Automatico")))),"")</f>
        <v>Automatico</v>
      </c>
      <c r="D4" s="633" t="str">
        <f>IFERROR(IF(Tabela2[[#This Row],[Shape]]="","Normal",IF(_xlfn.XLOOKUP(Tabela2[[#This Row],[Brand]],BRANDS[Brand],BRANDS[Brand Type])="","Normal",_xlfn.XLOOKUP(Tabela2[[#This Row],[Brand]],BRANDS[Brand],BRANDS[Brand Type]))),"")</f>
        <v>Normal</v>
      </c>
      <c r="E4" s="633" t="s">
        <v>2284</v>
      </c>
      <c r="F4" s="635" t="s">
        <v>16</v>
      </c>
      <c r="G4" s="633">
        <v>1300</v>
      </c>
      <c r="H4" s="636">
        <v>1400</v>
      </c>
      <c r="I4">
        <f>IFERROR(IF(Tabela2[[#This Row],[Shape]]="","",IF(Tabela2[[#This Row],[Shape]]="-",Tabela2[[#This Row],[Qnt 1]]/1000,Tabela2[[#This Row],[Qnt 1]])),"")</f>
        <v>1.3</v>
      </c>
      <c r="J4">
        <f>IFERROR(IF(Tabela2[[#This Row],[Shape]]="","",IF(Tabela2[[#This Row],[Shape]]="-",Tabela2[[#This Row],[Qnt 2]]/1000,Tabela2[[#This Row],[Qnt 2]])),"")</f>
        <v>1.4</v>
      </c>
      <c r="K4" t="str" cm="1">
        <f t="array" aca="1" ref="K4" ca="1">IFERROR(IF(Tabela2[[#This Row],[Brand Type]]="Normal",Tabela2[[#This Row],[Brand]],_xlfn.CONCAT(MID(RIGHT(_xlfn.CONCAT(MID(Tabela2[[#This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 +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Row],[Brand]]))),1)),1)))-ROW(INDIRECT("1:" &amp;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f>
        <v>JEBCO RAM D1-EU</v>
      </c>
      <c r="L4" t="str" cm="1">
        <f t="array" aca="1" ref="L4" ca="1">IFERROR(IF(Tabela2[[#This Row],[Brand Type]]="Normal","",_xlfn.CONCAT(MID(LEFT(_xlfn.CONCAT(MID(Tabela2[[#This Row],[Brand]],1 + LEN(Tabela2[[#This Row],[Brand]])-ROW(INDIRECT("1:" &amp; LEN(Tabela2[[#This Row],[Brand]]))),1)),SEARCH(" ",_xlfn.CONCAT(MID(Tabela2[[#This Row],[Brand]],1 + LEN(Tabela2[[#This Row],[Brand]])-ROW(INDIRECT("1:" &amp; LEN(Tabela2[[#This Row],[Brand]]))),1)),1)-1),1 + LEN(LEFT(_xlfn.CONCAT(MID(Tabela2[[#This Row],[Brand]],1 + LEN(Tabela2[[#This Row],[Brand]])-ROW(INDIRECT("1:" &amp; LEN(Tabela2[[#This Row],[Brand]]))),1)),SEARCH(" ",_xlfn.CONCAT(MID(Tabela2[[#This Row],[Brand]],1 + LEN(Tabela2[[#This Row],[Brand]])-ROW(INDIRECT("1:" &amp; LEN(Tabela2[[#This Row],[Brand]]))),1)),1)-1))-ROW(INDIRECT("1:" &amp; LEN(LEFT(_xlfn.CONCAT(MID(Tabela2[[#This Row],[Brand]],1 + LEN(Tabela2[[#This Row],[Brand]])-ROW(INDIRECT("1:" &amp; LEN(Tabela2[[#This Row],[Brand]]))),1)),SEARCH(" ",_xlfn.CONCAT(MID(Tabela2[[#This Row],[Brand]],1 + LEN(Tabela2[[#This Row],[Brand]])-ROW(INDIRECT("1:" &amp; LEN(Tabela2[[#This Row],[Brand]]))),1)),1)-1)))),1))),"")</f>
        <v/>
      </c>
      <c r="M4">
        <f>IFERROR(IF(SAP_FINAL!$C$11="Office",2000,IF(SAP_FINAL!$C$11="VPN",3500,5000)),"")</f>
        <v>2000</v>
      </c>
      <c r="N4">
        <f>IFERROR(IF(SAP_FINAL!$C$11="Office",2500,IF(SAP_FINAL!$C$11="VPN",4000,5000)),"")</f>
        <v>2500</v>
      </c>
      <c r="O4" t="str" cm="1">
        <f t="array" ref="O4">IFERROR(IF(ROW(Tabela2[[#This Row],[Brand]])=2,"Send, "&amp;Tabela2[[#This Row],[Item]]&amp;"|Send, ^{Right}|Send, ^{Right}|Send, ^{Right}|Send, " &amp;LEFT(TRIM(Tabela2[[#This Row],[Brand]]),38)&amp;"|Send, {Enter}",IF(Tabela2[[#This Row],[Item (Reference)]]&lt;&gt;"",IF(INDEX(Tabela2[[#All],[Item (Reference)]],ROW()-1)="",IF(Tabela2[[#This Row],[Shape]]="","Sleep, "&amp;Tabela2[[#This Row],[Delay2]]&amp;"|Send, ^{Left}|Send, "&amp;Tabela2[[#This Row],[Item]]&amp;"|Send, ^{Right}|Send, ^{Right}|Send, ^{Right}|Send, "&amp;LEFT(TRIM(Tabela2[[#This Row],[Brand]]),38)&amp;"|Send, {Enter}","Sleep, "&amp;Tabela2[[#This Row],[Delay1]]&amp;"|Send, ^{Left}|Send, "&amp;Tabela2[[#This Row],[Item]]&amp;"|Send, ^{Right}|Send, MAT_KONFIG|Send, {Enter}"),"Sleep, "&amp;Tabela2[[#This Row],[Delay2]]&amp;"|Send, ^{Left}|Send, "&amp;Tabela2[[#This Row],[Item]]&amp;"|Send, ^{Right}|Send, MAT_KONFIG|Send, {Enter}"),"Sleep, "&amp;Tabela2[[#This Row],[Delay2]]&amp;"|Send, ^{Left}|Send, "&amp;Tabela2[[#This Row],[Item]]&amp;"|Send, ^{Right}|Send, ^{Right}|Send, ^{Right}|Send, "&amp;LEFT(TRIM(Tabela2[[#This Row],[Brand]]),38)&amp;"|Send, {Enter}")),"")</f>
        <v>Sleep, 2500|Send, ^{Left}|Send, 30|Send, ^{Right}|Send, MAT_KONFIG|Send, {Enter}</v>
      </c>
      <c r="P4" t="str">
        <f>IFERROR("Sleep, "&amp;Tabela2[[#This Row],[Delay2]]&amp;"|Send, U|Send, {Tab}|Send, {Tab}|Send, {Tab}|Send, {Tab}|Send, {Tab}|Send, {Tab}|Send, "&amp;TRIM(Tabela2[[#This Row],[Brand]])&amp;"|Send, {Tab}|Send, {Tab}|Send, {Tab}|Send, {Tab}|Send, {Tab}|Send, {Tab}|Send, {Tab}|Send, {Tab}|Send, {Tab}|Send, "&amp;SUBSTITUTE(Tabela2[[#This Row],[Qnt 1 (Reference)]],".",",")&amp;"|Send, {Tab}|Send, {Tab}|Send, "&amp;SUBSTITUTE(Tabela2[[#This Row],[Qnt 2 (Reference)]],".",",")&amp;"|Send, {F3}","")</f>
        <v>Sleep, 2500|Send, U|Send, {Tab}|Send, {Tab}|Send, {Tab}|Send, {Tab}|Send, {Tab}|Send, {Tab}|Send, JEBCO RAM D1-EU|Send, {Tab}|Send, {Tab}|Send, {Tab}|Send, {Tab}|Send, {Tab}|Send, {Tab}|Send, {Tab}|Send, {Tab}|Send, {Tab}|Send, 1,3|Send, {Tab}|Send, {Tab}|Send, 1,4|Send, {F3}</v>
      </c>
      <c r="Q4" t="str">
        <f ca="1">IFERROR("Sleep, "&amp;Tabela2[[#This Row],[Delay2]]&amp;"|Send, {Down}|Send, "&amp;SUBSTITUTE(SUBSTITUTE(Tabela2[[#This Row],[Shape]],"+","{+}")," ","")&amp;"|Send, {Tab}|Send, {Tab}|Send, {Tab}|Send, {Tab}|Send, "&amp;Tabela2[[#This Row],[Brand (Reference)]]&amp;"|Send, {Tab}|Send, {Tab}|Send, {Tab}|"&amp;IF(Tabela2[[#This Row],[Brand Type]]="Normal","","Send, "&amp;Tabela2[[#This Row],[Add-On]]&amp;"|")&amp;"Send, {Tab}|Send, {Tab}|Send, {Tab}|Send, {Tab}|Send, {Tab}|Send, {Tab}|Send, "&amp;SUBSTITUTE(Tabela2[[#This Row],[Qnt 1 (Reference)]],".",",")&amp;"|Send, {Tab}|Send, {Tab}|Send, "&amp;SUBSTITUTE(Tabela2[[#This Row],[Qnt 2 (Reference)]],".",",")&amp;"|Send, {F3}","")</f>
        <v>Sleep, 2500|Send, {Down}|Send, -|Send, {Tab}|Send, {Tab}|Send, {Tab}|Send, {Tab}|Send, JEBCO RAM D1-EU|Send, {Tab}|Send, {Tab}|Send, {Tab}|Send, {Tab}|Send, {Tab}|Send, {Tab}|Send, {Tab}|Send, {Tab}|Send, {Tab}|Send, 1,3|Send, {Tab}|Send, {Tab}|Send, 1,4|Send, {F3}</v>
      </c>
      <c r="R4" t="str">
        <f>IFERROR(IF(Tabela2[[#This Row],[Item (Reference)]]="","",IF(Tabela2[[#This Row],[Shape]]="-",Tabela2[[#This Row],[Reference2]],Tabela2[[#This Row],[Reference3]])),"")</f>
        <v>Sleep, 2500|Send, U|Send, {Tab}|Send, {Tab}|Send, {Tab}|Send, {Tab}|Send, {Tab}|Send, {Tab}|Send, JEBCO RAM D1-EU|Send, {Tab}|Send, {Tab}|Send, {Tab}|Send, {Tab}|Send, {Tab}|Send, {Tab}|Send, {Tab}|Send, {Tab}|Send, {Tab}|Send, 1,3|Send, {Tab}|Send, {Tab}|Send, 1,4|Send, {F3}</v>
      </c>
      <c r="S4" t="str">
        <f>IFERROR(IF(Tabela2[[#This Row],[State]]="Automatico",Tabela2[[#This Row],[Reference1]]&amp;"|"&amp;Tabela2[[#This Row],[Reference4]],""),"")</f>
        <v>Sleep, 2500|Send, ^{Left}|Send, 30|Send, ^{Right}|Send, MAT_KONFIG|Send, {Enter}|Sleep, 2500|Send, U|Send, {Tab}|Send, {Tab}|Send, {Tab}|Send, {Tab}|Send, {Tab}|Send, {Tab}|Send, JEBCO RAM D1-EU|Send, {Tab}|Send, {Tab}|Send, {Tab}|Send, {Tab}|Send, {Tab}|Send, {Tab}|Send, {Tab}|Send, {Tab}|Send, {Tab}|Send, 1,3|Send, {Tab}|Send, {Tab}|Send, 1,4|Send, {F3}</v>
      </c>
    </row>
    <row r="5" spans="1:19">
      <c r="A5" t="str" cm="1">
        <f t="array" ref="A5">IFERROR(IF(Tabela2[[#This Row],[State]]="Automatico",IF(Tabela2[[#This Row],[Shape]]="","",(ROW()-1)*10),INDEX(Tabela2[[#All],[Item (Reference)]],ROW()-1)),"")</f>
        <v/>
      </c>
      <c r="B5" s="633">
        <f t="shared" si="1"/>
        <v>40</v>
      </c>
      <c r="C5" s="633" t="str">
        <f>IFERROR(IF(Tabela2[[#This Row],[Shape]]="","Automatico",IF(_xlfn.XLOOKUP(Tabela2[[#This Row],[Brand]],BRANDS[Brand],BRANDS[State])="Manual","Manual",IF(Tabela2[[#This Row],[Shape]]="-","Automatico",IF(_xlfn.XLOOKUP(Tabela2[[#This Row],[Shape]],SHAPES[Shape],SHAPES[State])="Manual","Manual","Automatico")))),"")</f>
        <v>Automatico</v>
      </c>
      <c r="D5" s="633" t="str">
        <f>IFERROR(IF(Tabela2[[#This Row],[Shape]]="","Normal",IF(_xlfn.XLOOKUP(Tabela2[[#This Row],[Brand]],BRANDS[Brand],BRANDS[Brand Type])="","Normal",_xlfn.XLOOKUP(Tabela2[[#This Row],[Brand]],BRANDS[Brand],BRANDS[Brand Type]))),"")</f>
        <v>Normal</v>
      </c>
      <c r="E5" s="633" t="s">
        <v>2285</v>
      </c>
      <c r="F5" s="635"/>
      <c r="G5" s="633"/>
      <c r="H5" s="636"/>
      <c r="I5" t="str">
        <f>IFERROR(IF(Tabela2[[#This Row],[Shape]]="","",IF(Tabela2[[#This Row],[Shape]]="-",Tabela2[[#This Row],[Qnt 1]]/1000,Tabela2[[#This Row],[Qnt 1]])),"")</f>
        <v/>
      </c>
      <c r="J5" t="str">
        <f>IFERROR(IF(Tabela2[[#This Row],[Shape]]="","",IF(Tabela2[[#This Row],[Shape]]="-",Tabela2[[#This Row],[Qnt 2]]/1000,Tabela2[[#This Row],[Qnt 2]])),"")</f>
        <v/>
      </c>
      <c r="K5" t="str" cm="1">
        <f t="array" aca="1" ref="K5" ca="1">IFERROR(IF(Tabela2[[#This Row],[Brand Type]]="Normal",Tabela2[[#This Row],[Brand]],_xlfn.CONCAT(MID(RIGHT(_xlfn.CONCAT(MID(Tabela2[[#This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 +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Row],[Brand]]))),1)),1)))-ROW(INDIRECT("1:" &amp;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f>
        <v>WALL SAFETY</v>
      </c>
      <c r="L5" t="str" cm="1">
        <f t="array" aca="1" ref="L5" ca="1">IFERROR(IF(Tabela2[[#This Row],[Brand Type]]="Normal","",_xlfn.CONCAT(MID(LEFT(_xlfn.CONCAT(MID(Tabela2[[#This Row],[Brand]],1 + LEN(Tabela2[[#This Row],[Brand]])-ROW(INDIRECT("1:" &amp; LEN(Tabela2[[#This Row],[Brand]]))),1)),SEARCH(" ",_xlfn.CONCAT(MID(Tabela2[[#This Row],[Brand]],1 + LEN(Tabela2[[#This Row],[Brand]])-ROW(INDIRECT("1:" &amp; LEN(Tabela2[[#This Row],[Brand]]))),1)),1)-1),1 + LEN(LEFT(_xlfn.CONCAT(MID(Tabela2[[#This Row],[Brand]],1 + LEN(Tabela2[[#This Row],[Brand]])-ROW(INDIRECT("1:" &amp; LEN(Tabela2[[#This Row],[Brand]]))),1)),SEARCH(" ",_xlfn.CONCAT(MID(Tabela2[[#This Row],[Brand]],1 + LEN(Tabela2[[#This Row],[Brand]])-ROW(INDIRECT("1:" &amp; LEN(Tabela2[[#This Row],[Brand]]))),1)),1)-1))-ROW(INDIRECT("1:" &amp; LEN(LEFT(_xlfn.CONCAT(MID(Tabela2[[#This Row],[Brand]],1 + LEN(Tabela2[[#This Row],[Brand]])-ROW(INDIRECT("1:" &amp; LEN(Tabela2[[#This Row],[Brand]]))),1)),SEARCH(" ",_xlfn.CONCAT(MID(Tabela2[[#This Row],[Brand]],1 + LEN(Tabela2[[#This Row],[Brand]])-ROW(INDIRECT("1:" &amp; LEN(Tabela2[[#This Row],[Brand]]))),1)),1)-1)))),1))),"")</f>
        <v/>
      </c>
      <c r="M5">
        <f>IFERROR(IF(SAP_FINAL!$C$11="Office",2000,IF(SAP_FINAL!$C$11="VPN",3500,5000)),"")</f>
        <v>2000</v>
      </c>
      <c r="N5">
        <f>IFERROR(IF(SAP_FINAL!$C$11="Office",2500,IF(SAP_FINAL!$C$11="VPN",4000,5000)),"")</f>
        <v>2500</v>
      </c>
      <c r="O5" t="str" cm="1">
        <f t="array" ref="O5">IFERROR(IF(ROW(Tabela2[[#This Row],[Brand]])=2,"Send, "&amp;Tabela2[[#This Row],[Item]]&amp;"|Send, ^{Right}|Send, ^{Right}|Send, ^{Right}|Send, " &amp;LEFT(TRIM(Tabela2[[#This Row],[Brand]]),38)&amp;"|Send, {Enter}",IF(Tabela2[[#This Row],[Item (Reference)]]&lt;&gt;"",IF(INDEX(Tabela2[[#All],[Item (Reference)]],ROW()-1)="",IF(Tabela2[[#This Row],[Shape]]="","Sleep, "&amp;Tabela2[[#This Row],[Delay2]]&amp;"|Send, ^{Left}|Send, "&amp;Tabela2[[#This Row],[Item]]&amp;"|Send, ^{Right}|Send, ^{Right}|Send, ^{Right}|Send, "&amp;LEFT(TRIM(Tabela2[[#This Row],[Brand]]),38)&amp;"|Send, {Enter}","Sleep, "&amp;Tabela2[[#This Row],[Delay1]]&amp;"|Send, ^{Left}|Send, "&amp;Tabela2[[#This Row],[Item]]&amp;"|Send, ^{Right}|Send, MAT_KONFIG|Send, {Enter}"),"Sleep, "&amp;Tabela2[[#This Row],[Delay2]]&amp;"|Send, ^{Left}|Send, "&amp;Tabela2[[#This Row],[Item]]&amp;"|Send, ^{Right}|Send, MAT_KONFIG|Send, {Enter}"),"Sleep, "&amp;Tabela2[[#This Row],[Delay2]]&amp;"|Send, ^{Left}|Send, "&amp;Tabela2[[#This Row],[Item]]&amp;"|Send, ^{Right}|Send, ^{Right}|Send, ^{Right}|Send, "&amp;LEFT(TRIM(Tabela2[[#This Row],[Brand]]),38)&amp;"|Send, {Enter}")),"")</f>
        <v>Sleep, 2500|Send, ^{Left}|Send, 40|Send, ^{Right}|Send, ^{Right}|Send, ^{Right}|Send, WALL SAFETY|Send, {Enter}</v>
      </c>
      <c r="P5" t="str">
        <f>IFERROR("Sleep, "&amp;Tabela2[[#This Row],[Delay2]]&amp;"|Send, U|Send, {Tab}|Send, {Tab}|Send, {Tab}|Send, {Tab}|Send, {Tab}|Send, {Tab}|Send, "&amp;TRIM(Tabela2[[#This Row],[Brand]])&amp;"|Send, {Tab}|Send, {Tab}|Send, {Tab}|Send, {Tab}|Send, {Tab}|Send, {Tab}|Send, {Tab}|Send, {Tab}|Send, {Tab}|Send, "&amp;SUBSTITUTE(Tabela2[[#This Row],[Qnt 1 (Reference)]],".",",")&amp;"|Send, {Tab}|Send, {Tab}|Send, "&amp;SUBSTITUTE(Tabela2[[#This Row],[Qnt 2 (Reference)]],".",",")&amp;"|Send, {F3}","")</f>
        <v>Sleep, 2500|Send, U|Send, {Tab}|Send, {Tab}|Send, {Tab}|Send, {Tab}|Send, {Tab}|Send, {Tab}|Send, WALL SAFETY|Send, {Tab}|Send, {Tab}|Send, {Tab}|Send, {Tab}|Send, {Tab}|Send, {Tab}|Send, {Tab}|Send, {Tab}|Send, {Tab}|Send, |Send, {Tab}|Send, {Tab}|Send, |Send, {F3}</v>
      </c>
      <c r="Q5" t="str">
        <f ca="1">IFERROR("Sleep, "&amp;Tabela2[[#This Row],[Delay2]]&amp;"|Send, {Down}|Send, "&amp;SUBSTITUTE(SUBSTITUTE(Tabela2[[#This Row],[Shape]],"+","{+}")," ","")&amp;"|Send, {Tab}|Send, {Tab}|Send, {Tab}|Send, {Tab}|Send, "&amp;Tabela2[[#This Row],[Brand (Reference)]]&amp;"|Send, {Tab}|Send, {Tab}|Send, {Tab}|"&amp;IF(Tabela2[[#This Row],[Brand Type]]="Normal","","Send, "&amp;Tabela2[[#This Row],[Add-On]]&amp;"|")&amp;"Send, {Tab}|Send, {Tab}|Send, {Tab}|Send, {Tab}|Send, {Tab}|Send, {Tab}|Send, "&amp;SUBSTITUTE(Tabela2[[#This Row],[Qnt 1 (Reference)]],".",",")&amp;"|Send, {Tab}|Send, {Tab}|Send, "&amp;SUBSTITUTE(Tabela2[[#This Row],[Qnt 2 (Reference)]],".",",")&amp;"|Send, {F3}","")</f>
        <v>Sleep, 2500|Send, {Down}|Send, |Send, {Tab}|Send, {Tab}|Send, {Tab}|Send, {Tab}|Send, WALL SAFETY|Send, {Tab}|Send, {Tab}|Send, {Tab}|Send, {Tab}|Send, {Tab}|Send, {Tab}|Send, {Tab}|Send, {Tab}|Send, {Tab}|Send, |Send, {Tab}|Send, {Tab}|Send, |Send, {F3}</v>
      </c>
      <c r="R5" t="str">
        <f>IFERROR(IF(Tabela2[[#This Row],[Item (Reference)]]="","",IF(Tabela2[[#This Row],[Shape]]="-",Tabela2[[#This Row],[Reference2]],Tabela2[[#This Row],[Reference3]])),"")</f>
        <v/>
      </c>
      <c r="S5" t="str">
        <f>IFERROR(IF(Tabela2[[#This Row],[State]]="Automatico",Tabela2[[#This Row],[Reference1]]&amp;"|"&amp;Tabela2[[#This Row],[Reference4]],""),"")</f>
        <v>Sleep, 2500|Send, ^{Left}|Send, 40|Send, ^{Right}|Send, ^{Right}|Send, ^{Right}|Send, WALL SAFETY|Send, {Enter}|</v>
      </c>
    </row>
    <row r="6" spans="1:19">
      <c r="A6" cm="1">
        <f t="array" ref="A6">IFERROR(IF(Tabela2[[#This Row],[State]]="Automatico",IF(Tabela2[[#This Row],[Shape]]="","",(ROW()-1)*10),INDEX(Tabela2[[#All],[Item (Reference)]],ROW()-1)),"")</f>
        <v>50</v>
      </c>
      <c r="B6" s="633">
        <f t="shared" si="1"/>
        <v>50</v>
      </c>
      <c r="C6" s="633" t="str">
        <f>IFERROR(IF(Tabela2[[#This Row],[Shape]]="","Automatico",IF(_xlfn.XLOOKUP(Tabela2[[#This Row],[Brand]],BRANDS[Brand],BRANDS[State])="Manual","Manual",IF(Tabela2[[#This Row],[Shape]]="-","Automatico",IF(_xlfn.XLOOKUP(Tabela2[[#This Row],[Shape]],SHAPES[Shape],SHAPES[State])="Manual","Manual","Automatico")))),"")</f>
        <v>Automatico</v>
      </c>
      <c r="D6" s="633" t="str">
        <f>IFERROR(IF(Tabela2[[#This Row],[Shape]]="","Normal",IF(_xlfn.XLOOKUP(Tabela2[[#This Row],[Brand]],BRANDS[Brand],BRANDS[Brand Type])="","Normal",_xlfn.XLOOKUP(Tabela2[[#This Row],[Brand]],BRANDS[Brand],BRANDS[Brand Type]))),"")</f>
        <v>Normal</v>
      </c>
      <c r="E6" s="633" t="s">
        <v>2283</v>
      </c>
      <c r="F6" s="635" t="s">
        <v>488</v>
      </c>
      <c r="G6" s="633">
        <v>2262</v>
      </c>
      <c r="H6" s="636">
        <v>2308</v>
      </c>
      <c r="I6">
        <f>IFERROR(IF(Tabela2[[#This Row],[Shape]]="","",IF(Tabela2[[#This Row],[Shape]]="-",Tabela2[[#This Row],[Qnt 1]]/1000,Tabela2[[#This Row],[Qnt 1]])),"")</f>
        <v>2262</v>
      </c>
      <c r="J6">
        <f>IFERROR(IF(Tabela2[[#This Row],[Shape]]="","",IF(Tabela2[[#This Row],[Shape]]="-",Tabela2[[#This Row],[Qnt 2]]/1000,Tabela2[[#This Row],[Qnt 2]])),"")</f>
        <v>2308</v>
      </c>
      <c r="K6" t="str" cm="1">
        <f t="array" aca="1" ref="K6" ca="1">IFERROR(IF(Tabela2[[#This Row],[Brand Type]]="Normal",Tabela2[[#This Row],[Brand]],_xlfn.CONCAT(MID(RIGHT(_xlfn.CONCAT(MID(Tabela2[[#This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 +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Row],[Brand]]))),1)),1)))-ROW(INDIRECT("1:" &amp;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f>
        <v>RADEX E12</v>
      </c>
      <c r="L6" t="str" cm="1">
        <f t="array" aca="1" ref="L6" ca="1">IFERROR(IF(Tabela2[[#This Row],[Brand Type]]="Normal","",_xlfn.CONCAT(MID(LEFT(_xlfn.CONCAT(MID(Tabela2[[#This Row],[Brand]],1 + LEN(Tabela2[[#This Row],[Brand]])-ROW(INDIRECT("1:" &amp; LEN(Tabela2[[#This Row],[Brand]]))),1)),SEARCH(" ",_xlfn.CONCAT(MID(Tabela2[[#This Row],[Brand]],1 + LEN(Tabela2[[#This Row],[Brand]])-ROW(INDIRECT("1:" &amp; LEN(Tabela2[[#This Row],[Brand]]))),1)),1)-1),1 + LEN(LEFT(_xlfn.CONCAT(MID(Tabela2[[#This Row],[Brand]],1 + LEN(Tabela2[[#This Row],[Brand]])-ROW(INDIRECT("1:" &amp; LEN(Tabela2[[#This Row],[Brand]]))),1)),SEARCH(" ",_xlfn.CONCAT(MID(Tabela2[[#This Row],[Brand]],1 + LEN(Tabela2[[#This Row],[Brand]])-ROW(INDIRECT("1:" &amp; LEN(Tabela2[[#This Row],[Brand]]))),1)),1)-1))-ROW(INDIRECT("1:" &amp; LEN(LEFT(_xlfn.CONCAT(MID(Tabela2[[#This Row],[Brand]],1 + LEN(Tabela2[[#This Row],[Brand]])-ROW(INDIRECT("1:" &amp; LEN(Tabela2[[#This Row],[Brand]]))),1)),SEARCH(" ",_xlfn.CONCAT(MID(Tabela2[[#This Row],[Brand]],1 + LEN(Tabela2[[#This Row],[Brand]])-ROW(INDIRECT("1:" &amp; LEN(Tabela2[[#This Row],[Brand]]))),1)),1)-1)))),1))),"")</f>
        <v/>
      </c>
      <c r="M6">
        <f>IFERROR(IF(SAP_FINAL!$C$11="Office",2000,IF(SAP_FINAL!$C$11="VPN",3500,5000)),"")</f>
        <v>2000</v>
      </c>
      <c r="N6">
        <f>IFERROR(IF(SAP_FINAL!$C$11="Office",2500,IF(SAP_FINAL!$C$11="VPN",4000,5000)),"")</f>
        <v>2500</v>
      </c>
      <c r="O6" t="str" cm="1">
        <f t="array" ref="O6">IFERROR(IF(ROW(Tabela2[[#This Row],[Brand]])=2,"Send, "&amp;Tabela2[[#This Row],[Item]]&amp;"|Send, ^{Right}|Send, ^{Right}|Send, ^{Right}|Send, " &amp;LEFT(TRIM(Tabela2[[#This Row],[Brand]]),38)&amp;"|Send, {Enter}",IF(Tabela2[[#This Row],[Item (Reference)]]&lt;&gt;"",IF(INDEX(Tabela2[[#All],[Item (Reference)]],ROW()-1)="",IF(Tabela2[[#This Row],[Shape]]="","Sleep, "&amp;Tabela2[[#This Row],[Delay2]]&amp;"|Send, ^{Left}|Send, "&amp;Tabela2[[#This Row],[Item]]&amp;"|Send, ^{Right}|Send, ^{Right}|Send, ^{Right}|Send, "&amp;LEFT(TRIM(Tabela2[[#This Row],[Brand]]),38)&amp;"|Send, {Enter}","Sleep, "&amp;Tabela2[[#This Row],[Delay1]]&amp;"|Send, ^{Left}|Send, "&amp;Tabela2[[#This Row],[Item]]&amp;"|Send, ^{Right}|Send, MAT_KONFIG|Send, {Enter}"),"Sleep, "&amp;Tabela2[[#This Row],[Delay2]]&amp;"|Send, ^{Left}|Send, "&amp;Tabela2[[#This Row],[Item]]&amp;"|Send, ^{Right}|Send, MAT_KONFIG|Send, {Enter}"),"Sleep, "&amp;Tabela2[[#This Row],[Delay2]]&amp;"|Send, ^{Left}|Send, "&amp;Tabela2[[#This Row],[Item]]&amp;"|Send, ^{Right}|Send, ^{Right}|Send, ^{Right}|Send, "&amp;LEFT(TRIM(Tabela2[[#This Row],[Brand]]),38)&amp;"|Send, {Enter}")),"")</f>
        <v>Sleep, 2000|Send, ^{Left}|Send, 50|Send, ^{Right}|Send, MAT_KONFIG|Send, {Enter}</v>
      </c>
      <c r="P6" t="str">
        <f>IFERROR("Sleep, "&amp;Tabela2[[#This Row],[Delay2]]&amp;"|Send, U|Send, {Tab}|Send, {Tab}|Send, {Tab}|Send, {Tab}|Send, {Tab}|Send, {Tab}|Send, "&amp;TRIM(Tabela2[[#This Row],[Brand]])&amp;"|Send, {Tab}|Send, {Tab}|Send, {Tab}|Send, {Tab}|Send, {Tab}|Send, {Tab}|Send, {Tab}|Send, {Tab}|Send, {Tab}|Send, "&amp;SUBSTITUTE(Tabela2[[#This Row],[Qnt 1 (Reference)]],".",",")&amp;"|Send, {Tab}|Send, {Tab}|Send, "&amp;SUBSTITUTE(Tabela2[[#This Row],[Qnt 2 (Reference)]],".",",")&amp;"|Send, {F3}","")</f>
        <v>Sleep, 2500|Send, U|Send, {Tab}|Send, {Tab}|Send, {Tab}|Send, {Tab}|Send, {Tab}|Send, {Tab}|Send, RADEX E12|Send, {Tab}|Send, {Tab}|Send, {Tab}|Send, {Tab}|Send, {Tab}|Send, {Tab}|Send, {Tab}|Send, {Tab}|Send, {Tab}|Send, 2262|Send, {Tab}|Send, {Tab}|Send, 2308|Send, {F3}</v>
      </c>
      <c r="Q6" t="str">
        <f ca="1">IFERROR("Sleep, "&amp;Tabela2[[#This Row],[Delay2]]&amp;"|Send, {Down}|Send, "&amp;SUBSTITUTE(SUBSTITUTE(Tabela2[[#This Row],[Shape]],"+","{+}")," ","")&amp;"|Send, {Tab}|Send, {Tab}|Send, {Tab}|Send, {Tab}|Send, "&amp;Tabela2[[#This Row],[Brand (Reference)]]&amp;"|Send, {Tab}|Send, {Tab}|Send, {Tab}|"&amp;IF(Tabela2[[#This Row],[Brand Type]]="Normal","","Send, "&amp;Tabela2[[#This Row],[Add-On]]&amp;"|")&amp;"Send, {Tab}|Send, {Tab}|Send, {Tab}|Send, {Tab}|Send, {Tab}|Send, {Tab}|Send, "&amp;SUBSTITUTE(Tabela2[[#This Row],[Qnt 1 (Reference)]],".",",")&amp;"|Send, {Tab}|Send, {Tab}|Send, "&amp;SUBSTITUTE(Tabela2[[#This Row],[Qnt 2 (Reference)]],".",",")&amp;"|Send, {F3}","")</f>
        <v>Sleep, 2500|Send, {Down}|Send, 1-76|Send, {Tab}|Send, {Tab}|Send, {Tab}|Send, {Tab}|Send, RADEX E12|Send, {Tab}|Send, {Tab}|Send, {Tab}|Send, {Tab}|Send, {Tab}|Send, {Tab}|Send, {Tab}|Send, {Tab}|Send, {Tab}|Send, 2262|Send, {Tab}|Send, {Tab}|Send, 2308|Send, {F3}</v>
      </c>
      <c r="R6" t="str">
        <f ca="1">IFERROR(IF(Tabela2[[#This Row],[Item (Reference)]]="","",IF(Tabela2[[#This Row],[Shape]]="-",Tabela2[[#This Row],[Reference2]],Tabela2[[#This Row],[Reference3]])),"")</f>
        <v>Sleep, 2500|Send, {Down}|Send, 1-76|Send, {Tab}|Send, {Tab}|Send, {Tab}|Send, {Tab}|Send, RADEX E12|Send, {Tab}|Send, {Tab}|Send, {Tab}|Send, {Tab}|Send, {Tab}|Send, {Tab}|Send, {Tab}|Send, {Tab}|Send, {Tab}|Send, 2262|Send, {Tab}|Send, {Tab}|Send, 2308|Send, {F3}</v>
      </c>
      <c r="S6" t="str">
        <f ca="1">IFERROR(IF(Tabela2[[#This Row],[State]]="Automatico",Tabela2[[#This Row],[Reference1]]&amp;"|"&amp;Tabela2[[#This Row],[Reference4]],""),"")</f>
        <v>Sleep, 2000|Send, ^{Left}|Send, 50|Send, ^{Right}|Send, MAT_KONFIG|Send, {Enter}|Sleep, 2500|Send, {Down}|Send, 1-76|Send, {Tab}|Send, {Tab}|Send, {Tab}|Send, {Tab}|Send, RADEX E12|Send, {Tab}|Send, {Tab}|Send, {Tab}|Send, {Tab}|Send, {Tab}|Send, {Tab}|Send, {Tab}|Send, {Tab}|Send, {Tab}|Send, 2262|Send, {Tab}|Send, {Tab}|Send, 2308|Send, {F3}</v>
      </c>
    </row>
    <row r="7" spans="1:19">
      <c r="A7" cm="1">
        <f t="array" ref="A7">IFERROR(IF(Tabela2[[#This Row],[State]]="Automatico",IF(Tabela2[[#This Row],[Shape]]="","",(ROW()-1)*10),INDEX(Tabela2[[#All],[Item (Reference)]],ROW()-1)),"")</f>
        <v>60</v>
      </c>
      <c r="B7" s="633">
        <f t="shared" si="1"/>
        <v>60</v>
      </c>
      <c r="C7" s="633" t="str">
        <f>IFERROR(IF(Tabela2[[#This Row],[Shape]]="","Automatico",IF(_xlfn.XLOOKUP(Tabela2[[#This Row],[Brand]],BRANDS[Brand],BRANDS[State])="Manual","Manual",IF(Tabela2[[#This Row],[Shape]]="-","Automatico",IF(_xlfn.XLOOKUP(Tabela2[[#This Row],[Shape]],SHAPES[Shape],SHAPES[State])="Manual","Manual","Automatico")))),"")</f>
        <v>Automatico</v>
      </c>
      <c r="D7" s="633" t="str">
        <f>IFERROR(IF(Tabela2[[#This Row],[Shape]]="","Normal",IF(_xlfn.XLOOKUP(Tabela2[[#This Row],[Brand]],BRANDS[Brand],BRANDS[Brand Type])="","Normal",_xlfn.XLOOKUP(Tabela2[[#This Row],[Brand]],BRANDS[Brand],BRANDS[Brand Type]))),"")</f>
        <v>Normal</v>
      </c>
      <c r="E7" s="633" t="s">
        <v>2283</v>
      </c>
      <c r="F7" s="635" t="s">
        <v>2074</v>
      </c>
      <c r="G7" s="633">
        <v>1491</v>
      </c>
      <c r="H7" s="636">
        <v>1521</v>
      </c>
      <c r="I7">
        <f>IFERROR(IF(Tabela2[[#This Row],[Shape]]="","",IF(Tabela2[[#This Row],[Shape]]="-",Tabela2[[#This Row],[Qnt 1]]/1000,Tabela2[[#This Row],[Qnt 1]])),"")</f>
        <v>1491</v>
      </c>
      <c r="J7">
        <f>IFERROR(IF(Tabela2[[#This Row],[Shape]]="","",IF(Tabela2[[#This Row],[Shape]]="-",Tabela2[[#This Row],[Qnt 2]]/1000,Tabela2[[#This Row],[Qnt 2]])),"")</f>
        <v>1521</v>
      </c>
      <c r="K7" t="str" cm="1">
        <f t="array" aca="1" ref="K7" ca="1">IFERROR(IF(Tabela2[[#This Row],[Brand Type]]="Normal",Tabela2[[#This Row],[Brand]],_xlfn.CONCAT(MID(RIGHT(_xlfn.CONCAT(MID(Tabela2[[#This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 +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Row],[Brand]]))),1)),1)))-ROW(INDIRECT("1:" &amp;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f>
        <v>RADEX E12</v>
      </c>
      <c r="L7" t="str" cm="1">
        <f t="array" aca="1" ref="L7" ca="1">IFERROR(IF(Tabela2[[#This Row],[Brand Type]]="Normal","",_xlfn.CONCAT(MID(LEFT(_xlfn.CONCAT(MID(Tabela2[[#This Row],[Brand]],1 + LEN(Tabela2[[#This Row],[Brand]])-ROW(INDIRECT("1:" &amp; LEN(Tabela2[[#This Row],[Brand]]))),1)),SEARCH(" ",_xlfn.CONCAT(MID(Tabela2[[#This Row],[Brand]],1 + LEN(Tabela2[[#This Row],[Brand]])-ROW(INDIRECT("1:" &amp; LEN(Tabela2[[#This Row],[Brand]]))),1)),1)-1),1 + LEN(LEFT(_xlfn.CONCAT(MID(Tabela2[[#This Row],[Brand]],1 + LEN(Tabela2[[#This Row],[Brand]])-ROW(INDIRECT("1:" &amp; LEN(Tabela2[[#This Row],[Brand]]))),1)),SEARCH(" ",_xlfn.CONCAT(MID(Tabela2[[#This Row],[Brand]],1 + LEN(Tabela2[[#This Row],[Brand]])-ROW(INDIRECT("1:" &amp; LEN(Tabela2[[#This Row],[Brand]]))),1)),1)-1))-ROW(INDIRECT("1:" &amp; LEN(LEFT(_xlfn.CONCAT(MID(Tabela2[[#This Row],[Brand]],1 + LEN(Tabela2[[#This Row],[Brand]])-ROW(INDIRECT("1:" &amp; LEN(Tabela2[[#This Row],[Brand]]))),1)),SEARCH(" ",_xlfn.CONCAT(MID(Tabela2[[#This Row],[Brand]],1 + LEN(Tabela2[[#This Row],[Brand]])-ROW(INDIRECT("1:" &amp; LEN(Tabela2[[#This Row],[Brand]]))),1)),1)-1)))),1))),"")</f>
        <v/>
      </c>
      <c r="M7">
        <f>IFERROR(IF(SAP_FINAL!$C$11="Office",2000,IF(SAP_FINAL!$C$11="VPN",3500,5000)),"")</f>
        <v>2000</v>
      </c>
      <c r="N7">
        <f>IFERROR(IF(SAP_FINAL!$C$11="Office",2500,IF(SAP_FINAL!$C$11="VPN",4000,5000)),"")</f>
        <v>2500</v>
      </c>
      <c r="O7" t="str" cm="1">
        <f t="array" ref="O7">IFERROR(IF(ROW(Tabela2[[#This Row],[Brand]])=2,"Send, "&amp;Tabela2[[#This Row],[Item]]&amp;"|Send, ^{Right}|Send, ^{Right}|Send, ^{Right}|Send, " &amp;LEFT(TRIM(Tabela2[[#This Row],[Brand]]),38)&amp;"|Send, {Enter}",IF(Tabela2[[#This Row],[Item (Reference)]]&lt;&gt;"",IF(INDEX(Tabela2[[#All],[Item (Reference)]],ROW()-1)="",IF(Tabela2[[#This Row],[Shape]]="","Sleep, "&amp;Tabela2[[#This Row],[Delay2]]&amp;"|Send, ^{Left}|Send, "&amp;Tabela2[[#This Row],[Item]]&amp;"|Send, ^{Right}|Send, ^{Right}|Send, ^{Right}|Send, "&amp;LEFT(TRIM(Tabela2[[#This Row],[Brand]]),38)&amp;"|Send, {Enter}","Sleep, "&amp;Tabela2[[#This Row],[Delay1]]&amp;"|Send, ^{Left}|Send, "&amp;Tabela2[[#This Row],[Item]]&amp;"|Send, ^{Right}|Send, MAT_KONFIG|Send, {Enter}"),"Sleep, "&amp;Tabela2[[#This Row],[Delay2]]&amp;"|Send, ^{Left}|Send, "&amp;Tabela2[[#This Row],[Item]]&amp;"|Send, ^{Right}|Send, MAT_KONFIG|Send, {Enter}"),"Sleep, "&amp;Tabela2[[#This Row],[Delay2]]&amp;"|Send, ^{Left}|Send, "&amp;Tabela2[[#This Row],[Item]]&amp;"|Send, ^{Right}|Send, ^{Right}|Send, ^{Right}|Send, "&amp;LEFT(TRIM(Tabela2[[#This Row],[Brand]]),38)&amp;"|Send, {Enter}")),"")</f>
        <v>Sleep, 2500|Send, ^{Left}|Send, 60|Send, ^{Right}|Send, MAT_KONFIG|Send, {Enter}</v>
      </c>
      <c r="P7" t="str">
        <f>IFERROR("Sleep, "&amp;Tabela2[[#This Row],[Delay2]]&amp;"|Send, U|Send, {Tab}|Send, {Tab}|Send, {Tab}|Send, {Tab}|Send, {Tab}|Send, {Tab}|Send, "&amp;TRIM(Tabela2[[#This Row],[Brand]])&amp;"|Send, {Tab}|Send, {Tab}|Send, {Tab}|Send, {Tab}|Send, {Tab}|Send, {Tab}|Send, {Tab}|Send, {Tab}|Send, {Tab}|Send, "&amp;SUBSTITUTE(Tabela2[[#This Row],[Qnt 1 (Reference)]],".",",")&amp;"|Send, {Tab}|Send, {Tab}|Send, "&amp;SUBSTITUTE(Tabela2[[#This Row],[Qnt 2 (Reference)]],".",",")&amp;"|Send, {F3}","")</f>
        <v>Sleep, 2500|Send, U|Send, {Tab}|Send, {Tab}|Send, {Tab}|Send, {Tab}|Send, {Tab}|Send, {Tab}|Send, RADEX E12|Send, {Tab}|Send, {Tab}|Send, {Tab}|Send, {Tab}|Send, {Tab}|Send, {Tab}|Send, {Tab}|Send, {Tab}|Send, {Tab}|Send, 1491|Send, {Tab}|Send, {Tab}|Send, 1521|Send, {F3}</v>
      </c>
      <c r="Q7" t="str">
        <f ca="1">IFERROR("Sleep, "&amp;Tabela2[[#This Row],[Delay2]]&amp;"|Send, {Down}|Send, "&amp;SUBSTITUTE(SUBSTITUTE(Tabela2[[#This Row],[Shape]],"+","{+}")," ","")&amp;"|Send, {Tab}|Send, {Tab}|Send, {Tab}|Send, {Tab}|Send, "&amp;Tabela2[[#This Row],[Brand (Reference)]]&amp;"|Send, {Tab}|Send, {Tab}|Send, {Tab}|"&amp;IF(Tabela2[[#This Row],[Brand Type]]="Normal","","Send, "&amp;Tabela2[[#This Row],[Add-On]]&amp;"|")&amp;"Send, {Tab}|Send, {Tab}|Send, {Tab}|Send, {Tab}|Send, {Tab}|Send, {Tab}|Send, "&amp;SUBSTITUTE(Tabela2[[#This Row],[Qnt 1 (Reference)]],".",",")&amp;"|Send, {Tab}|Send, {Tab}|Send, "&amp;SUBSTITUTE(Tabela2[[#This Row],[Qnt 2 (Reference)]],".",",")&amp;"|Send, {F3}","")</f>
        <v>Sleep, 2500|Send, {Down}|Send, 1H10-76|Send, {Tab}|Send, {Tab}|Send, {Tab}|Send, {Tab}|Send, RADEX E12|Send, {Tab}|Send, {Tab}|Send, {Tab}|Send, {Tab}|Send, {Tab}|Send, {Tab}|Send, {Tab}|Send, {Tab}|Send, {Tab}|Send, 1491|Send, {Tab}|Send, {Tab}|Send, 1521|Send, {F3}</v>
      </c>
      <c r="R7" t="str">
        <f ca="1">IFERROR(IF(Tabela2[[#This Row],[Item (Reference)]]="","",IF(Tabela2[[#This Row],[Shape]]="-",Tabela2[[#This Row],[Reference2]],Tabela2[[#This Row],[Reference3]])),"")</f>
        <v>Sleep, 2500|Send, {Down}|Send, 1H10-76|Send, {Tab}|Send, {Tab}|Send, {Tab}|Send, {Tab}|Send, RADEX E12|Send, {Tab}|Send, {Tab}|Send, {Tab}|Send, {Tab}|Send, {Tab}|Send, {Tab}|Send, {Tab}|Send, {Tab}|Send, {Tab}|Send, 1491|Send, {Tab}|Send, {Tab}|Send, 1521|Send, {F3}</v>
      </c>
      <c r="S7" t="str">
        <f ca="1">IFERROR(IF(Tabela2[[#This Row],[State]]="Automatico",Tabela2[[#This Row],[Reference1]]&amp;"|"&amp;Tabela2[[#This Row],[Reference4]],""),"")</f>
        <v>Sleep, 2500|Send, ^{Left}|Send, 60|Send, ^{Right}|Send, MAT_KONFIG|Send, {Enter}|Sleep, 2500|Send, {Down}|Send, 1H10-76|Send, {Tab}|Send, {Tab}|Send, {Tab}|Send, {Tab}|Send, RADEX E12|Send, {Tab}|Send, {Tab}|Send, {Tab}|Send, {Tab}|Send, {Tab}|Send, {Tab}|Send, {Tab}|Send, {Tab}|Send, {Tab}|Send, 1491|Send, {Tab}|Send, {Tab}|Send, 1521|Send, {F3}</v>
      </c>
    </row>
    <row r="8" spans="1:19">
      <c r="A8" cm="1">
        <f t="array" ref="A8">IFERROR(IF(Tabela2[[#This Row],[State]]="Automatico",IF(Tabela2[[#This Row],[Shape]]="","",(ROW()-1)*10),INDEX(Tabela2[[#All],[Item (Reference)]],ROW()-1)),"")</f>
        <v>70</v>
      </c>
      <c r="B8" s="633">
        <f t="shared" si="1"/>
        <v>70</v>
      </c>
      <c r="C8" s="633" t="str">
        <f>IFERROR(IF(Tabela2[[#This Row],[Shape]]="","Automatico",IF(_xlfn.XLOOKUP(Tabela2[[#This Row],[Brand]],BRANDS[Brand],BRANDS[State])="Manual","Manual",IF(Tabela2[[#This Row],[Shape]]="-","Automatico",IF(_xlfn.XLOOKUP(Tabela2[[#This Row],[Shape]],SHAPES[Shape],SHAPES[State])="Manual","Manual","Automatico")))),"")</f>
        <v>Automatico</v>
      </c>
      <c r="D8" s="633" t="str">
        <f>IFERROR(IF(Tabela2[[#This Row],[Shape]]="","Normal",IF(_xlfn.XLOOKUP(Tabela2[[#This Row],[Brand]],BRANDS[Brand],BRANDS[Brand Type])="","Normal",_xlfn.XLOOKUP(Tabela2[[#This Row],[Brand]],BRANDS[Brand],BRANDS[Brand Type]))),"")</f>
        <v>Normal</v>
      </c>
      <c r="E8" s="633" t="s">
        <v>2284</v>
      </c>
      <c r="F8" s="635" t="s">
        <v>16</v>
      </c>
      <c r="G8" s="633">
        <v>1950</v>
      </c>
      <c r="H8" s="636">
        <v>2100</v>
      </c>
      <c r="I8">
        <f>IFERROR(IF(Tabela2[[#This Row],[Shape]]="","",IF(Tabela2[[#This Row],[Shape]]="-",Tabela2[[#This Row],[Qnt 1]]/1000,Tabela2[[#This Row],[Qnt 1]])),"")</f>
        <v>1.95</v>
      </c>
      <c r="J8">
        <f>IFERROR(IF(Tabela2[[#This Row],[Shape]]="","",IF(Tabela2[[#This Row],[Shape]]="-",Tabela2[[#This Row],[Qnt 2]]/1000,Tabela2[[#This Row],[Qnt 2]])),"")</f>
        <v>2.1</v>
      </c>
      <c r="K8" t="str" cm="1">
        <f t="array" aca="1" ref="K8" ca="1">IFERROR(IF(Tabela2[[#This Row],[Brand Type]]="Normal",Tabela2[[#This Row],[Brand]],_xlfn.CONCAT(MID(RIGHT(_xlfn.CONCAT(MID(Tabela2[[#This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 +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Row],[Brand]]))),1)),1)))-ROW(INDIRECT("1:" &amp;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f>
        <v>JEBCO RAM D1-EU</v>
      </c>
      <c r="L8" t="str" cm="1">
        <f t="array" aca="1" ref="L8" ca="1">IFERROR(IF(Tabela2[[#This Row],[Brand Type]]="Normal","",_xlfn.CONCAT(MID(LEFT(_xlfn.CONCAT(MID(Tabela2[[#This Row],[Brand]],1 + LEN(Tabela2[[#This Row],[Brand]])-ROW(INDIRECT("1:" &amp; LEN(Tabela2[[#This Row],[Brand]]))),1)),SEARCH(" ",_xlfn.CONCAT(MID(Tabela2[[#This Row],[Brand]],1 + LEN(Tabela2[[#This Row],[Brand]])-ROW(INDIRECT("1:" &amp; LEN(Tabela2[[#This Row],[Brand]]))),1)),1)-1),1 + LEN(LEFT(_xlfn.CONCAT(MID(Tabela2[[#This Row],[Brand]],1 + LEN(Tabela2[[#This Row],[Brand]])-ROW(INDIRECT("1:" &amp; LEN(Tabela2[[#This Row],[Brand]]))),1)),SEARCH(" ",_xlfn.CONCAT(MID(Tabela2[[#This Row],[Brand]],1 + LEN(Tabela2[[#This Row],[Brand]])-ROW(INDIRECT("1:" &amp; LEN(Tabela2[[#This Row],[Brand]]))),1)),1)-1))-ROW(INDIRECT("1:" &amp; LEN(LEFT(_xlfn.CONCAT(MID(Tabela2[[#This Row],[Brand]],1 + LEN(Tabela2[[#This Row],[Brand]])-ROW(INDIRECT("1:" &amp; LEN(Tabela2[[#This Row],[Brand]]))),1)),SEARCH(" ",_xlfn.CONCAT(MID(Tabela2[[#This Row],[Brand]],1 + LEN(Tabela2[[#This Row],[Brand]])-ROW(INDIRECT("1:" &amp; LEN(Tabela2[[#This Row],[Brand]]))),1)),1)-1)))),1))),"")</f>
        <v/>
      </c>
      <c r="M8">
        <f>IFERROR(IF(SAP_FINAL!$C$11="Office",2000,IF(SAP_FINAL!$C$11="VPN",3500,5000)),"")</f>
        <v>2000</v>
      </c>
      <c r="N8">
        <f>IFERROR(IF(SAP_FINAL!$C$11="Office",2500,IF(SAP_FINAL!$C$11="VPN",4000,5000)),"")</f>
        <v>2500</v>
      </c>
      <c r="O8" t="str" cm="1">
        <f t="array" ref="O8">IFERROR(IF(ROW(Tabela2[[#This Row],[Brand]])=2,"Send, "&amp;Tabela2[[#This Row],[Item]]&amp;"|Send, ^{Right}|Send, ^{Right}|Send, ^{Right}|Send, " &amp;LEFT(TRIM(Tabela2[[#This Row],[Brand]]),38)&amp;"|Send, {Enter}",IF(Tabela2[[#This Row],[Item (Reference)]]&lt;&gt;"",IF(INDEX(Tabela2[[#All],[Item (Reference)]],ROW()-1)="",IF(Tabela2[[#This Row],[Shape]]="","Sleep, "&amp;Tabela2[[#This Row],[Delay2]]&amp;"|Send, ^{Left}|Send, "&amp;Tabela2[[#This Row],[Item]]&amp;"|Send, ^{Right}|Send, ^{Right}|Send, ^{Right}|Send, "&amp;LEFT(TRIM(Tabela2[[#This Row],[Brand]]),38)&amp;"|Send, {Enter}","Sleep, "&amp;Tabela2[[#This Row],[Delay1]]&amp;"|Send, ^{Left}|Send, "&amp;Tabela2[[#This Row],[Item]]&amp;"|Send, ^{Right}|Send, MAT_KONFIG|Send, {Enter}"),"Sleep, "&amp;Tabela2[[#This Row],[Delay2]]&amp;"|Send, ^{Left}|Send, "&amp;Tabela2[[#This Row],[Item]]&amp;"|Send, ^{Right}|Send, MAT_KONFIG|Send, {Enter}"),"Sleep, "&amp;Tabela2[[#This Row],[Delay2]]&amp;"|Send, ^{Left}|Send, "&amp;Tabela2[[#This Row],[Item]]&amp;"|Send, ^{Right}|Send, ^{Right}|Send, ^{Right}|Send, "&amp;LEFT(TRIM(Tabela2[[#This Row],[Brand]]),38)&amp;"|Send, {Enter}")),"")</f>
        <v>Sleep, 2500|Send, ^{Left}|Send, 70|Send, ^{Right}|Send, MAT_KONFIG|Send, {Enter}</v>
      </c>
      <c r="P8" t="str">
        <f>IFERROR("Sleep, "&amp;Tabela2[[#This Row],[Delay2]]&amp;"|Send, U|Send, {Tab}|Send, {Tab}|Send, {Tab}|Send, {Tab}|Send, {Tab}|Send, {Tab}|Send, "&amp;TRIM(Tabela2[[#This Row],[Brand]])&amp;"|Send, {Tab}|Send, {Tab}|Send, {Tab}|Send, {Tab}|Send, {Tab}|Send, {Tab}|Send, {Tab}|Send, {Tab}|Send, {Tab}|Send, "&amp;SUBSTITUTE(Tabela2[[#This Row],[Qnt 1 (Reference)]],".",",")&amp;"|Send, {Tab}|Send, {Tab}|Send, "&amp;SUBSTITUTE(Tabela2[[#This Row],[Qnt 2 (Reference)]],".",",")&amp;"|Send, {F3}","")</f>
        <v>Sleep, 2500|Send, U|Send, {Tab}|Send, {Tab}|Send, {Tab}|Send, {Tab}|Send, {Tab}|Send, {Tab}|Send, JEBCO RAM D1-EU|Send, {Tab}|Send, {Tab}|Send, {Tab}|Send, {Tab}|Send, {Tab}|Send, {Tab}|Send, {Tab}|Send, {Tab}|Send, {Tab}|Send, 1,95|Send, {Tab}|Send, {Tab}|Send, 2,1|Send, {F3}</v>
      </c>
      <c r="Q8" t="str">
        <f ca="1">IFERROR("Sleep, "&amp;Tabela2[[#This Row],[Delay2]]&amp;"|Send, {Down}|Send, "&amp;SUBSTITUTE(SUBSTITUTE(Tabela2[[#This Row],[Shape]],"+","{+}")," ","")&amp;"|Send, {Tab}|Send, {Tab}|Send, {Tab}|Send, {Tab}|Send, "&amp;Tabela2[[#This Row],[Brand (Reference)]]&amp;"|Send, {Tab}|Send, {Tab}|Send, {Tab}|"&amp;IF(Tabela2[[#This Row],[Brand Type]]="Normal","","Send, "&amp;Tabela2[[#This Row],[Add-On]]&amp;"|")&amp;"Send, {Tab}|Send, {Tab}|Send, {Tab}|Send, {Tab}|Send, {Tab}|Send, {Tab}|Send, "&amp;SUBSTITUTE(Tabela2[[#This Row],[Qnt 1 (Reference)]],".",",")&amp;"|Send, {Tab}|Send, {Tab}|Send, "&amp;SUBSTITUTE(Tabela2[[#This Row],[Qnt 2 (Reference)]],".",",")&amp;"|Send, {F3}","")</f>
        <v>Sleep, 2500|Send, {Down}|Send, -|Send, {Tab}|Send, {Tab}|Send, {Tab}|Send, {Tab}|Send, JEBCO RAM D1-EU|Send, {Tab}|Send, {Tab}|Send, {Tab}|Send, {Tab}|Send, {Tab}|Send, {Tab}|Send, {Tab}|Send, {Tab}|Send, {Tab}|Send, 1,95|Send, {Tab}|Send, {Tab}|Send, 2,1|Send, {F3}</v>
      </c>
      <c r="R8" t="str">
        <f>IFERROR(IF(Tabela2[[#This Row],[Item (Reference)]]="","",IF(Tabela2[[#This Row],[Shape]]="-",Tabela2[[#This Row],[Reference2]],Tabela2[[#This Row],[Reference3]])),"")</f>
        <v>Sleep, 2500|Send, U|Send, {Tab}|Send, {Tab}|Send, {Tab}|Send, {Tab}|Send, {Tab}|Send, {Tab}|Send, JEBCO RAM D1-EU|Send, {Tab}|Send, {Tab}|Send, {Tab}|Send, {Tab}|Send, {Tab}|Send, {Tab}|Send, {Tab}|Send, {Tab}|Send, {Tab}|Send, 1,95|Send, {Tab}|Send, {Tab}|Send, 2,1|Send, {F3}</v>
      </c>
      <c r="S8" t="str">
        <f>IFERROR(IF(Tabela2[[#This Row],[State]]="Automatico",Tabela2[[#This Row],[Reference1]]&amp;"|"&amp;Tabela2[[#This Row],[Reference4]],""),"")</f>
        <v>Sleep, 2500|Send, ^{Left}|Send, 70|Send, ^{Right}|Send, MAT_KONFIG|Send, {Enter}|Sleep, 2500|Send, U|Send, {Tab}|Send, {Tab}|Send, {Tab}|Send, {Tab}|Send, {Tab}|Send, {Tab}|Send, JEBCO RAM D1-EU|Send, {Tab}|Send, {Tab}|Send, {Tab}|Send, {Tab}|Send, {Tab}|Send, {Tab}|Send, {Tab}|Send, {Tab}|Send, {Tab}|Send, 1,95|Send, {Tab}|Send, {Tab}|Send, 2,1|Send, {F3}</v>
      </c>
    </row>
    <row r="9" spans="1:19">
      <c r="A9" t="str" cm="1">
        <f t="array" ref="A9">IFERROR(IF(Tabela2[[#This Row],[State]]="Automatico",IF(Tabela2[[#This Row],[Shape]]="","",(ROW()-1)*10),INDEX(Tabela2[[#All],[Item (Reference)]],ROW()-1)),"")</f>
        <v/>
      </c>
      <c r="B9" s="633">
        <f t="shared" si="1"/>
        <v>80</v>
      </c>
      <c r="C9" s="633" t="str">
        <f>IFERROR(IF(Tabela2[[#This Row],[Shape]]="","Automatico",IF(_xlfn.XLOOKUP(Tabela2[[#This Row],[Brand]],BRANDS[Brand],BRANDS[State])="Manual","Manual",IF(Tabela2[[#This Row],[Shape]]="-","Automatico",IF(_xlfn.XLOOKUP(Tabela2[[#This Row],[Shape]],SHAPES[Shape],SHAPES[State])="Manual","Manual","Automatico")))),"")</f>
        <v>Automatico</v>
      </c>
      <c r="D9" s="633" t="str">
        <f>IFERROR(IF(Tabela2[[#This Row],[Shape]]="","Normal",IF(_xlfn.XLOOKUP(Tabela2[[#This Row],[Brand]],BRANDS[Brand],BRANDS[Brand Type])="","Normal",_xlfn.XLOOKUP(Tabela2[[#This Row],[Brand]],BRANDS[Brand],BRANDS[Brand Type]))),"")</f>
        <v>Normal</v>
      </c>
      <c r="E9" s="633" t="s">
        <v>2286</v>
      </c>
      <c r="F9" s="635"/>
      <c r="G9" s="633"/>
      <c r="H9" s="636"/>
      <c r="I9" t="str">
        <f>IFERROR(IF(Tabela2[[#This Row],[Shape]]="","",IF(Tabela2[[#This Row],[Shape]]="-",Tabela2[[#This Row],[Qnt 1]]/1000,Tabela2[[#This Row],[Qnt 1]])),"")</f>
        <v/>
      </c>
      <c r="J9" t="str">
        <f>IFERROR(IF(Tabela2[[#This Row],[Shape]]="","",IF(Tabela2[[#This Row],[Shape]]="-",Tabela2[[#This Row],[Qnt 2]]/1000,Tabela2[[#This Row],[Qnt 2]])),"")</f>
        <v/>
      </c>
      <c r="K9" t="str" cm="1">
        <f t="array" aca="1" ref="K9" ca="1">IFERROR(IF(Tabela2[[#This Row],[Brand Type]]="Normal",Tabela2[[#This Row],[Brand]],_xlfn.CONCAT(MID(RIGHT(_xlfn.CONCAT(MID(Tabela2[[#This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 +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Row],[Brand]]))),1)),1)))-ROW(INDIRECT("1:" &amp;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f>
        <v>BOTTOM WORKING</v>
      </c>
      <c r="L9" t="str" cm="1">
        <f t="array" aca="1" ref="L9" ca="1">IFERROR(IF(Tabela2[[#This Row],[Brand Type]]="Normal","",_xlfn.CONCAT(MID(LEFT(_xlfn.CONCAT(MID(Tabela2[[#This Row],[Brand]],1 + LEN(Tabela2[[#This Row],[Brand]])-ROW(INDIRECT("1:" &amp; LEN(Tabela2[[#This Row],[Brand]]))),1)),SEARCH(" ",_xlfn.CONCAT(MID(Tabela2[[#This Row],[Brand]],1 + LEN(Tabela2[[#This Row],[Brand]])-ROW(INDIRECT("1:" &amp; LEN(Tabela2[[#This Row],[Brand]]))),1)),1)-1),1 + LEN(LEFT(_xlfn.CONCAT(MID(Tabela2[[#This Row],[Brand]],1 + LEN(Tabela2[[#This Row],[Brand]])-ROW(INDIRECT("1:" &amp; LEN(Tabela2[[#This Row],[Brand]]))),1)),SEARCH(" ",_xlfn.CONCAT(MID(Tabela2[[#This Row],[Brand]],1 + LEN(Tabela2[[#This Row],[Brand]])-ROW(INDIRECT("1:" &amp; LEN(Tabela2[[#This Row],[Brand]]))),1)),1)-1))-ROW(INDIRECT("1:" &amp; LEN(LEFT(_xlfn.CONCAT(MID(Tabela2[[#This Row],[Brand]],1 + LEN(Tabela2[[#This Row],[Brand]])-ROW(INDIRECT("1:" &amp; LEN(Tabela2[[#This Row],[Brand]]))),1)),SEARCH(" ",_xlfn.CONCAT(MID(Tabela2[[#This Row],[Brand]],1 + LEN(Tabela2[[#This Row],[Brand]])-ROW(INDIRECT("1:" &amp; LEN(Tabela2[[#This Row],[Brand]]))),1)),1)-1)))),1))),"")</f>
        <v/>
      </c>
      <c r="M9">
        <f>IFERROR(IF(SAP_FINAL!$C$11="Office",2000,IF(SAP_FINAL!$C$11="VPN",3500,5000)),"")</f>
        <v>2000</v>
      </c>
      <c r="N9">
        <f>IFERROR(IF(SAP_FINAL!$C$11="Office",2500,IF(SAP_FINAL!$C$11="VPN",4000,5000)),"")</f>
        <v>2500</v>
      </c>
      <c r="O9" t="str" cm="1">
        <f t="array" ref="O9">IFERROR(IF(ROW(Tabela2[[#This Row],[Brand]])=2,"Send, "&amp;Tabela2[[#This Row],[Item]]&amp;"|Send, ^{Right}|Send, ^{Right}|Send, ^{Right}|Send, " &amp;LEFT(TRIM(Tabela2[[#This Row],[Brand]]),38)&amp;"|Send, {Enter}",IF(Tabela2[[#This Row],[Item (Reference)]]&lt;&gt;"",IF(INDEX(Tabela2[[#All],[Item (Reference)]],ROW()-1)="",IF(Tabela2[[#This Row],[Shape]]="","Sleep, "&amp;Tabela2[[#This Row],[Delay2]]&amp;"|Send, ^{Left}|Send, "&amp;Tabela2[[#This Row],[Item]]&amp;"|Send, ^{Right}|Send, ^{Right}|Send, ^{Right}|Send, "&amp;LEFT(TRIM(Tabela2[[#This Row],[Brand]]),38)&amp;"|Send, {Enter}","Sleep, "&amp;Tabela2[[#This Row],[Delay1]]&amp;"|Send, ^{Left}|Send, "&amp;Tabela2[[#This Row],[Item]]&amp;"|Send, ^{Right}|Send, MAT_KONFIG|Send, {Enter}"),"Sleep, "&amp;Tabela2[[#This Row],[Delay2]]&amp;"|Send, ^{Left}|Send, "&amp;Tabela2[[#This Row],[Item]]&amp;"|Send, ^{Right}|Send, MAT_KONFIG|Send, {Enter}"),"Sleep, "&amp;Tabela2[[#This Row],[Delay2]]&amp;"|Send, ^{Left}|Send, "&amp;Tabela2[[#This Row],[Item]]&amp;"|Send, ^{Right}|Send, ^{Right}|Send, ^{Right}|Send, "&amp;LEFT(TRIM(Tabela2[[#This Row],[Brand]]),38)&amp;"|Send, {Enter}")),"")</f>
        <v>Sleep, 2500|Send, ^{Left}|Send, 80|Send, ^{Right}|Send, ^{Right}|Send, ^{Right}|Send, BOTTOM WORKING|Send, {Enter}</v>
      </c>
      <c r="P9" t="str">
        <f>IFERROR("Sleep, "&amp;Tabela2[[#This Row],[Delay2]]&amp;"|Send, U|Send, {Tab}|Send, {Tab}|Send, {Tab}|Send, {Tab}|Send, {Tab}|Send, {Tab}|Send, "&amp;TRIM(Tabela2[[#This Row],[Brand]])&amp;"|Send, {Tab}|Send, {Tab}|Send, {Tab}|Send, {Tab}|Send, {Tab}|Send, {Tab}|Send, {Tab}|Send, {Tab}|Send, {Tab}|Send, "&amp;SUBSTITUTE(Tabela2[[#This Row],[Qnt 1 (Reference)]],".",",")&amp;"|Send, {Tab}|Send, {Tab}|Send, "&amp;SUBSTITUTE(Tabela2[[#This Row],[Qnt 2 (Reference)]],".",",")&amp;"|Send, {F3}","")</f>
        <v>Sleep, 2500|Send, U|Send, {Tab}|Send, {Tab}|Send, {Tab}|Send, {Tab}|Send, {Tab}|Send, {Tab}|Send, BOTTOM WORKING|Send, {Tab}|Send, {Tab}|Send, {Tab}|Send, {Tab}|Send, {Tab}|Send, {Tab}|Send, {Tab}|Send, {Tab}|Send, {Tab}|Send, |Send, {Tab}|Send, {Tab}|Send, |Send, {F3}</v>
      </c>
      <c r="Q9" t="str">
        <f ca="1">IFERROR("Sleep, "&amp;Tabela2[[#This Row],[Delay2]]&amp;"|Send, {Down}|Send, "&amp;SUBSTITUTE(SUBSTITUTE(Tabela2[[#This Row],[Shape]],"+","{+}")," ","")&amp;"|Send, {Tab}|Send, {Tab}|Send, {Tab}|Send, {Tab}|Send, "&amp;Tabela2[[#This Row],[Brand (Reference)]]&amp;"|Send, {Tab}|Send, {Tab}|Send, {Tab}|"&amp;IF(Tabela2[[#This Row],[Brand Type]]="Normal","","Send, "&amp;Tabela2[[#This Row],[Add-On]]&amp;"|")&amp;"Send, {Tab}|Send, {Tab}|Send, {Tab}|Send, {Tab}|Send, {Tab}|Send, {Tab}|Send, "&amp;SUBSTITUTE(Tabela2[[#This Row],[Qnt 1 (Reference)]],".",",")&amp;"|Send, {Tab}|Send, {Tab}|Send, "&amp;SUBSTITUTE(Tabela2[[#This Row],[Qnt 2 (Reference)]],".",",")&amp;"|Send, {F3}","")</f>
        <v>Sleep, 2500|Send, {Down}|Send, |Send, {Tab}|Send, {Tab}|Send, {Tab}|Send, {Tab}|Send, BOTTOM WORKING|Send, {Tab}|Send, {Tab}|Send, {Tab}|Send, {Tab}|Send, {Tab}|Send, {Tab}|Send, {Tab}|Send, {Tab}|Send, {Tab}|Send, |Send, {Tab}|Send, {Tab}|Send, |Send, {F3}</v>
      </c>
      <c r="R9" t="str">
        <f>IFERROR(IF(Tabela2[[#This Row],[Item (Reference)]]="","",IF(Tabela2[[#This Row],[Shape]]="-",Tabela2[[#This Row],[Reference2]],Tabela2[[#This Row],[Reference3]])),"")</f>
        <v/>
      </c>
      <c r="S9" t="str">
        <f>IFERROR(IF(Tabela2[[#This Row],[State]]="Automatico",Tabela2[[#This Row],[Reference1]]&amp;"|"&amp;Tabela2[[#This Row],[Reference4]],""),"")</f>
        <v>Sleep, 2500|Send, ^{Left}|Send, 80|Send, ^{Right}|Send, ^{Right}|Send, ^{Right}|Send, BOTTOM WORKING|Send, {Enter}|</v>
      </c>
    </row>
    <row r="10" spans="1:19">
      <c r="A10" cm="1">
        <f t="array" ref="A10">IFERROR(IF(Tabela2[[#This Row],[State]]="Automatico",IF(Tabela2[[#This Row],[Shape]]="","",(ROW()-1)*10),INDEX(Tabela2[[#All],[Item (Reference)]],ROW()-1)),"")</f>
        <v>90</v>
      </c>
      <c r="B10" s="633">
        <f t="shared" si="1"/>
        <v>90</v>
      </c>
      <c r="C10" s="633" t="str">
        <f>IFERROR(IF(Tabela2[[#This Row],[Shape]]="","Automatico",IF(_xlfn.XLOOKUP(Tabela2[[#This Row],[Brand]],BRANDS[Brand],BRANDS[State])="Manual","Manual",IF(Tabela2[[#This Row],[Shape]]="-","Automatico",IF(_xlfn.XLOOKUP(Tabela2[[#This Row],[Shape]],SHAPES[Shape],SHAPES[State])="Manual","Manual","Automatico")))),"")</f>
        <v>Automatico</v>
      </c>
      <c r="D10" s="633" t="str">
        <f>IFERROR(IF(Tabela2[[#This Row],[Shape]]="","Normal",IF(_xlfn.XLOOKUP(Tabela2[[#This Row],[Brand]],BRANDS[Brand],BRANDS[Brand Type])="","Normal",_xlfn.XLOOKUP(Tabela2[[#This Row],[Brand]],BRANDS[Brand],BRANDS[Brand Type]))),"")</f>
        <v>Normal</v>
      </c>
      <c r="E10" s="633" t="s">
        <v>2287</v>
      </c>
      <c r="F10" s="635" t="s">
        <v>2009</v>
      </c>
      <c r="G10" s="633">
        <v>129</v>
      </c>
      <c r="H10" s="636">
        <v>138</v>
      </c>
      <c r="I10">
        <f>IFERROR(IF(Tabela2[[#This Row],[Shape]]="","",IF(Tabela2[[#This Row],[Shape]]="-",Tabela2[[#This Row],[Qnt 1]]/1000,Tabela2[[#This Row],[Qnt 1]])),"")</f>
        <v>129</v>
      </c>
      <c r="J10">
        <f>IFERROR(IF(Tabela2[[#This Row],[Shape]]="","",IF(Tabela2[[#This Row],[Shape]]="-",Tabela2[[#This Row],[Qnt 2]]/1000,Tabela2[[#This Row],[Qnt 2]])),"")</f>
        <v>138</v>
      </c>
      <c r="K10" t="str" cm="1">
        <f t="array" aca="1" ref="K10" ca="1">IFERROR(IF(Tabela2[[#This Row],[Brand Type]]="Normal",Tabela2[[#This Row],[Brand]],_xlfn.CONCAT(MID(RIGHT(_xlfn.CONCAT(MID(Tabela2[[#This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 +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Row],[Brand]]))),1)),1)))-ROW(INDIRECT("1:" &amp;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f>
        <v>SINDOFORM K66-US</v>
      </c>
      <c r="L10" t="str" cm="1">
        <f t="array" aca="1" ref="L10" ca="1">IFERROR(IF(Tabela2[[#This Row],[Brand Type]]="Normal","",_xlfn.CONCAT(MID(LEFT(_xlfn.CONCAT(MID(Tabela2[[#This Row],[Brand]],1 + LEN(Tabela2[[#This Row],[Brand]])-ROW(INDIRECT("1:" &amp; LEN(Tabela2[[#This Row],[Brand]]))),1)),SEARCH(" ",_xlfn.CONCAT(MID(Tabela2[[#This Row],[Brand]],1 + LEN(Tabela2[[#This Row],[Brand]])-ROW(INDIRECT("1:" &amp; LEN(Tabela2[[#This Row],[Brand]]))),1)),1)-1),1 + LEN(LEFT(_xlfn.CONCAT(MID(Tabela2[[#This Row],[Brand]],1 + LEN(Tabela2[[#This Row],[Brand]])-ROW(INDIRECT("1:" &amp; LEN(Tabela2[[#This Row],[Brand]]))),1)),SEARCH(" ",_xlfn.CONCAT(MID(Tabela2[[#This Row],[Brand]],1 + LEN(Tabela2[[#This Row],[Brand]])-ROW(INDIRECT("1:" &amp; LEN(Tabela2[[#This Row],[Brand]]))),1)),1)-1))-ROW(INDIRECT("1:" &amp; LEN(LEFT(_xlfn.CONCAT(MID(Tabela2[[#This Row],[Brand]],1 + LEN(Tabela2[[#This Row],[Brand]])-ROW(INDIRECT("1:" &amp; LEN(Tabela2[[#This Row],[Brand]]))),1)),SEARCH(" ",_xlfn.CONCAT(MID(Tabela2[[#This Row],[Brand]],1 + LEN(Tabela2[[#This Row],[Brand]])-ROW(INDIRECT("1:" &amp; LEN(Tabela2[[#This Row],[Brand]]))),1)),1)-1)))),1))),"")</f>
        <v/>
      </c>
      <c r="M10">
        <f>IFERROR(IF(SAP_FINAL!$C$11="Office",2000,IF(SAP_FINAL!$C$11="VPN",3500,5000)),"")</f>
        <v>2000</v>
      </c>
      <c r="N10">
        <f>IFERROR(IF(SAP_FINAL!$C$11="Office",2500,IF(SAP_FINAL!$C$11="VPN",4000,5000)),"")</f>
        <v>2500</v>
      </c>
      <c r="O10" t="str" cm="1">
        <f t="array" ref="O10">IFERROR(IF(ROW(Tabela2[[#This Row],[Brand]])=2,"Send, "&amp;Tabela2[[#This Row],[Item]]&amp;"|Send, ^{Right}|Send, ^{Right}|Send, ^{Right}|Send, " &amp;LEFT(TRIM(Tabela2[[#This Row],[Brand]]),38)&amp;"|Send, {Enter}",IF(Tabela2[[#This Row],[Item (Reference)]]&lt;&gt;"",IF(INDEX(Tabela2[[#All],[Item (Reference)]],ROW()-1)="",IF(Tabela2[[#This Row],[Shape]]="","Sleep, "&amp;Tabela2[[#This Row],[Delay2]]&amp;"|Send, ^{Left}|Send, "&amp;Tabela2[[#This Row],[Item]]&amp;"|Send, ^{Right}|Send, ^{Right}|Send, ^{Right}|Send, "&amp;LEFT(TRIM(Tabela2[[#This Row],[Brand]]),38)&amp;"|Send, {Enter}","Sleep, "&amp;Tabela2[[#This Row],[Delay1]]&amp;"|Send, ^{Left}|Send, "&amp;Tabela2[[#This Row],[Item]]&amp;"|Send, ^{Right}|Send, MAT_KONFIG|Send, {Enter}"),"Sleep, "&amp;Tabela2[[#This Row],[Delay2]]&amp;"|Send, ^{Left}|Send, "&amp;Tabela2[[#This Row],[Item]]&amp;"|Send, ^{Right}|Send, MAT_KONFIG|Send, {Enter}"),"Sleep, "&amp;Tabela2[[#This Row],[Delay2]]&amp;"|Send, ^{Left}|Send, "&amp;Tabela2[[#This Row],[Item]]&amp;"|Send, ^{Right}|Send, ^{Right}|Send, ^{Right}|Send, "&amp;LEFT(TRIM(Tabela2[[#This Row],[Brand]]),38)&amp;"|Send, {Enter}")),"")</f>
        <v>Sleep, 2000|Send, ^{Left}|Send, 90|Send, ^{Right}|Send, MAT_KONFIG|Send, {Enter}</v>
      </c>
      <c r="P10" t="str">
        <f>IFERROR("Sleep, "&amp;Tabela2[[#This Row],[Delay2]]&amp;"|Send, U|Send, {Tab}|Send, {Tab}|Send, {Tab}|Send, {Tab}|Send, {Tab}|Send, {Tab}|Send, "&amp;TRIM(Tabela2[[#This Row],[Brand]])&amp;"|Send, {Tab}|Send, {Tab}|Send, {Tab}|Send, {Tab}|Send, {Tab}|Send, {Tab}|Send, {Tab}|Send, {Tab}|Send, {Tab}|Send, "&amp;SUBSTITUTE(Tabela2[[#This Row],[Qnt 1 (Reference)]],".",",")&amp;"|Send, {Tab}|Send, {Tab}|Send, "&amp;SUBSTITUTE(Tabela2[[#This Row],[Qnt 2 (Reference)]],".",",")&amp;"|Send, {F3}","")</f>
        <v>Sleep, 2500|Send, U|Send, {Tab}|Send, {Tab}|Send, {Tab}|Send, {Tab}|Send, {Tab}|Send, {Tab}|Send, SINDOFORM K66-US|Send, {Tab}|Send, {Tab}|Send, {Tab}|Send, {Tab}|Send, {Tab}|Send, {Tab}|Send, {Tab}|Send, {Tab}|Send, {Tab}|Send, 129|Send, {Tab}|Send, {Tab}|Send, 138|Send, {F3}</v>
      </c>
      <c r="Q10" t="str">
        <f ca="1">IFERROR("Sleep, "&amp;Tabela2[[#This Row],[Delay2]]&amp;"|Send, {Down}|Send, "&amp;SUBSTITUTE(SUBSTITUTE(Tabela2[[#This Row],[Shape]],"+","{+}")," ","")&amp;"|Send, {Tab}|Send, {Tab}|Send, {Tab}|Send, {Tab}|Send, "&amp;Tabela2[[#This Row],[Brand (Reference)]]&amp;"|Send, {Tab}|Send, {Tab}|Send, {Tab}|"&amp;IF(Tabela2[[#This Row],[Brand Type]]="Normal","","Send, "&amp;Tabela2[[#This Row],[Add-On]]&amp;"|")&amp;"Send, {Tab}|Send, {Tab}|Send, {Tab}|Send, {Tab}|Send, {Tab}|Send, {Tab}|Send, "&amp;SUBSTITUTE(Tabela2[[#This Row],[Qnt 1 (Reference)]],".",",")&amp;"|Send, {Tab}|Send, {Tab}|Send, "&amp;SUBSTITUTE(Tabela2[[#This Row],[Qnt 2 (Reference)]],".",",")&amp;"|Send, {F3}","")</f>
        <v>Sleep, 2500|Send, {Down}|Send, K15X6-51/2X100|Send, {Tab}|Send, {Tab}|Send, {Tab}|Send, {Tab}|Send, SINDOFORM K66-US|Send, {Tab}|Send, {Tab}|Send, {Tab}|Send, {Tab}|Send, {Tab}|Send, {Tab}|Send, {Tab}|Send, {Tab}|Send, {Tab}|Send, 129|Send, {Tab}|Send, {Tab}|Send, 138|Send, {F3}</v>
      </c>
      <c r="R10" t="str">
        <f ca="1">IFERROR(IF(Tabela2[[#This Row],[Item (Reference)]]="","",IF(Tabela2[[#This Row],[Shape]]="-",Tabela2[[#This Row],[Reference2]],Tabela2[[#This Row],[Reference3]])),"")</f>
        <v>Sleep, 2500|Send, {Down}|Send, K15X6-51/2X100|Send, {Tab}|Send, {Tab}|Send, {Tab}|Send, {Tab}|Send, SINDOFORM K66-US|Send, {Tab}|Send, {Tab}|Send, {Tab}|Send, {Tab}|Send, {Tab}|Send, {Tab}|Send, {Tab}|Send, {Tab}|Send, {Tab}|Send, 129|Send, {Tab}|Send, {Tab}|Send, 138|Send, {F3}</v>
      </c>
      <c r="S10" t="str">
        <f ca="1">IFERROR(IF(Tabela2[[#This Row],[State]]="Automatico",Tabela2[[#This Row],[Reference1]]&amp;"|"&amp;Tabela2[[#This Row],[Reference4]],""),"")</f>
        <v>Sleep, 2000|Send, ^{Left}|Send, 90|Send, ^{Right}|Send, MAT_KONFIG|Send, {Enter}|Sleep, 2500|Send, {Down}|Send, K15X6-51/2X100|Send, {Tab}|Send, {Tab}|Send, {Tab}|Send, {Tab}|Send, SINDOFORM K66-US|Send, {Tab}|Send, {Tab}|Send, {Tab}|Send, {Tab}|Send, {Tab}|Send, {Tab}|Send, {Tab}|Send, {Tab}|Send, {Tab}|Send, 129|Send, {Tab}|Send, {Tab}|Send, 138|Send, {F3}</v>
      </c>
    </row>
    <row r="11" spans="1:19">
      <c r="A11" cm="1">
        <f t="array" ref="A11">IFERROR(IF(Tabela2[[#This Row],[State]]="Automatico",IF(Tabela2[[#This Row],[Shape]]="","",(ROW()-1)*10),INDEX(Tabela2[[#All],[Item (Reference)]],ROW()-1)),"")</f>
        <v>100</v>
      </c>
      <c r="B11" s="633">
        <f t="shared" si="1"/>
        <v>100</v>
      </c>
      <c r="C11" s="633" t="str">
        <f>IFERROR(IF(Tabela2[[#This Row],[Shape]]="","Automatico",IF(_xlfn.XLOOKUP(Tabela2[[#This Row],[Brand]],BRANDS[Brand],BRANDS[State])="Manual","Manual",IF(Tabela2[[#This Row],[Shape]]="-","Automatico",IF(_xlfn.XLOOKUP(Tabela2[[#This Row],[Shape]],SHAPES[Shape],SHAPES[State])="Manual","Manual","Automatico")))),"")</f>
        <v>Automatico</v>
      </c>
      <c r="D11" s="633" t="str">
        <f>IFERROR(IF(Tabela2[[#This Row],[Shape]]="","Normal",IF(_xlfn.XLOOKUP(Tabela2[[#This Row],[Brand]],BRANDS[Brand],BRANDS[Brand Type])="","Normal",_xlfn.XLOOKUP(Tabela2[[#This Row],[Brand]],BRANDS[Brand],BRANDS[Brand Type]))),"")</f>
        <v>Normal</v>
      </c>
      <c r="E11" s="633" t="s">
        <v>2287</v>
      </c>
      <c r="F11" s="635" t="s">
        <v>1403</v>
      </c>
      <c r="G11" s="633">
        <v>449</v>
      </c>
      <c r="H11" s="636">
        <v>467</v>
      </c>
      <c r="I11">
        <f>IFERROR(IF(Tabela2[[#This Row],[Shape]]="","",IF(Tabela2[[#This Row],[Shape]]="-",Tabela2[[#This Row],[Qnt 1]]/1000,Tabela2[[#This Row],[Qnt 1]])),"")</f>
        <v>449</v>
      </c>
      <c r="J11">
        <f>IFERROR(IF(Tabela2[[#This Row],[Shape]]="","",IF(Tabela2[[#This Row],[Shape]]="-",Tabela2[[#This Row],[Qnt 2]]/1000,Tabela2[[#This Row],[Qnt 2]])),"")</f>
        <v>467</v>
      </c>
      <c r="K11" t="str" cm="1">
        <f t="array" aca="1" ref="K11" ca="1">IFERROR(IF(Tabela2[[#This Row],[Brand Type]]="Normal",Tabela2[[#This Row],[Brand]],_xlfn.CONCAT(MID(RIGHT(_xlfn.CONCAT(MID(Tabela2[[#This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 +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Row],[Brand]]))),1)),1)))-ROW(INDIRECT("1:" &amp;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f>
        <v>SINDOFORM K66-US</v>
      </c>
      <c r="L11" t="str" cm="1">
        <f t="array" aca="1" ref="L11" ca="1">IFERROR(IF(Tabela2[[#This Row],[Brand Type]]="Normal","",_xlfn.CONCAT(MID(LEFT(_xlfn.CONCAT(MID(Tabela2[[#This Row],[Brand]],1 + LEN(Tabela2[[#This Row],[Brand]])-ROW(INDIRECT("1:" &amp; LEN(Tabela2[[#This Row],[Brand]]))),1)),SEARCH(" ",_xlfn.CONCAT(MID(Tabela2[[#This Row],[Brand]],1 + LEN(Tabela2[[#This Row],[Brand]])-ROW(INDIRECT("1:" &amp; LEN(Tabela2[[#This Row],[Brand]]))),1)),1)-1),1 + LEN(LEFT(_xlfn.CONCAT(MID(Tabela2[[#This Row],[Brand]],1 + LEN(Tabela2[[#This Row],[Brand]])-ROW(INDIRECT("1:" &amp; LEN(Tabela2[[#This Row],[Brand]]))),1)),SEARCH(" ",_xlfn.CONCAT(MID(Tabela2[[#This Row],[Brand]],1 + LEN(Tabela2[[#This Row],[Brand]])-ROW(INDIRECT("1:" &amp; LEN(Tabela2[[#This Row],[Brand]]))),1)),1)-1))-ROW(INDIRECT("1:" &amp; LEN(LEFT(_xlfn.CONCAT(MID(Tabela2[[#This Row],[Brand]],1 + LEN(Tabela2[[#This Row],[Brand]])-ROW(INDIRECT("1:" &amp; LEN(Tabela2[[#This Row],[Brand]]))),1)),SEARCH(" ",_xlfn.CONCAT(MID(Tabela2[[#This Row],[Brand]],1 + LEN(Tabela2[[#This Row],[Brand]])-ROW(INDIRECT("1:" &amp; LEN(Tabela2[[#This Row],[Brand]]))),1)),1)-1)))),1))),"")</f>
        <v/>
      </c>
      <c r="M11">
        <f>IFERROR(IF(SAP_FINAL!$C$11="Office",2000,IF(SAP_FINAL!$C$11="VPN",3500,5000)),"")</f>
        <v>2000</v>
      </c>
      <c r="N11">
        <f>IFERROR(IF(SAP_FINAL!$C$11="Office",2500,IF(SAP_FINAL!$C$11="VPN",4000,5000)),"")</f>
        <v>2500</v>
      </c>
      <c r="O11" t="str" cm="1">
        <f t="array" ref="O11">IFERROR(IF(ROW(Tabela2[[#This Row],[Brand]])=2,"Send, "&amp;Tabela2[[#This Row],[Item]]&amp;"|Send, ^{Right}|Send, ^{Right}|Send, ^{Right}|Send, " &amp;LEFT(TRIM(Tabela2[[#This Row],[Brand]]),38)&amp;"|Send, {Enter}",IF(Tabela2[[#This Row],[Item (Reference)]]&lt;&gt;"",IF(INDEX(Tabela2[[#All],[Item (Reference)]],ROW()-1)="",IF(Tabela2[[#This Row],[Shape]]="","Sleep, "&amp;Tabela2[[#This Row],[Delay2]]&amp;"|Send, ^{Left}|Send, "&amp;Tabela2[[#This Row],[Item]]&amp;"|Send, ^{Right}|Send, ^{Right}|Send, ^{Right}|Send, "&amp;LEFT(TRIM(Tabela2[[#This Row],[Brand]]),38)&amp;"|Send, {Enter}","Sleep, "&amp;Tabela2[[#This Row],[Delay1]]&amp;"|Send, ^{Left}|Send, "&amp;Tabela2[[#This Row],[Item]]&amp;"|Send, ^{Right}|Send, MAT_KONFIG|Send, {Enter}"),"Sleep, "&amp;Tabela2[[#This Row],[Delay2]]&amp;"|Send, ^{Left}|Send, "&amp;Tabela2[[#This Row],[Item]]&amp;"|Send, ^{Right}|Send, MAT_KONFIG|Send, {Enter}"),"Sleep, "&amp;Tabela2[[#This Row],[Delay2]]&amp;"|Send, ^{Left}|Send, "&amp;Tabela2[[#This Row],[Item]]&amp;"|Send, ^{Right}|Send, ^{Right}|Send, ^{Right}|Send, "&amp;LEFT(TRIM(Tabela2[[#This Row],[Brand]]),38)&amp;"|Send, {Enter}")),"")</f>
        <v>Sleep, 2500|Send, ^{Left}|Send, 100|Send, ^{Right}|Send, MAT_KONFIG|Send, {Enter}</v>
      </c>
      <c r="P11" t="str">
        <f>IFERROR("Sleep, "&amp;Tabela2[[#This Row],[Delay2]]&amp;"|Send, U|Send, {Tab}|Send, {Tab}|Send, {Tab}|Send, {Tab}|Send, {Tab}|Send, {Tab}|Send, "&amp;TRIM(Tabela2[[#This Row],[Brand]])&amp;"|Send, {Tab}|Send, {Tab}|Send, {Tab}|Send, {Tab}|Send, {Tab}|Send, {Tab}|Send, {Tab}|Send, {Tab}|Send, {Tab}|Send, "&amp;SUBSTITUTE(Tabela2[[#This Row],[Qnt 1 (Reference)]],".",",")&amp;"|Send, {Tab}|Send, {Tab}|Send, "&amp;SUBSTITUTE(Tabela2[[#This Row],[Qnt 2 (Reference)]],".",",")&amp;"|Send, {F3}","")</f>
        <v>Sleep, 2500|Send, U|Send, {Tab}|Send, {Tab}|Send, {Tab}|Send, {Tab}|Send, {Tab}|Send, {Tab}|Send, SINDOFORM K66-US|Send, {Tab}|Send, {Tab}|Send, {Tab}|Send, {Tab}|Send, {Tab}|Send, {Tab}|Send, {Tab}|Send, {Tab}|Send, {Tab}|Send, 449|Send, {Tab}|Send, {Tab}|Send, 467|Send, {F3}</v>
      </c>
      <c r="Q11" t="str">
        <f ca="1">IFERROR("Sleep, "&amp;Tabela2[[#This Row],[Delay2]]&amp;"|Send, {Down}|Send, "&amp;SUBSTITUTE(SUBSTITUTE(Tabela2[[#This Row],[Shape]],"+","{+}")," ","")&amp;"|Send, {Tab}|Send, {Tab}|Send, {Tab}|Send, {Tab}|Send, "&amp;Tabela2[[#This Row],[Brand (Reference)]]&amp;"|Send, {Tab}|Send, {Tab}|Send, {Tab}|"&amp;IF(Tabela2[[#This Row],[Brand Type]]="Normal","","Send, "&amp;Tabela2[[#This Row],[Add-On]]&amp;"|")&amp;"Send, {Tab}|Send, {Tab}|Send, {Tab}|Send, {Tab}|Send, {Tab}|Send, {Tab}|Send, "&amp;SUBSTITUTE(Tabela2[[#This Row],[Qnt 1 (Reference)]],".",",")&amp;"|Send, {Tab}|Send, {Tab}|Send, "&amp;SUBSTITUTE(Tabela2[[#This Row],[Qnt 2 (Reference)]],".",",")&amp;"|Send, {F3}","")</f>
        <v>Sleep, 2500|Send, {Down}|Send, S15X6X100|Send, {Tab}|Send, {Tab}|Send, {Tab}|Send, {Tab}|Send, SINDOFORM K66-US|Send, {Tab}|Send, {Tab}|Send, {Tab}|Send, {Tab}|Send, {Tab}|Send, {Tab}|Send, {Tab}|Send, {Tab}|Send, {Tab}|Send, 449|Send, {Tab}|Send, {Tab}|Send, 467|Send, {F3}</v>
      </c>
      <c r="R11" t="str">
        <f ca="1">IFERROR(IF(Tabela2[[#This Row],[Item (Reference)]]="","",IF(Tabela2[[#This Row],[Shape]]="-",Tabela2[[#This Row],[Reference2]],Tabela2[[#This Row],[Reference3]])),"")</f>
        <v>Sleep, 2500|Send, {Down}|Send, S15X6X100|Send, {Tab}|Send, {Tab}|Send, {Tab}|Send, {Tab}|Send, SINDOFORM K66-US|Send, {Tab}|Send, {Tab}|Send, {Tab}|Send, {Tab}|Send, {Tab}|Send, {Tab}|Send, {Tab}|Send, {Tab}|Send, {Tab}|Send, 449|Send, {Tab}|Send, {Tab}|Send, 467|Send, {F3}</v>
      </c>
      <c r="S11" t="str">
        <f ca="1">IFERROR(IF(Tabela2[[#This Row],[State]]="Automatico",Tabela2[[#This Row],[Reference1]]&amp;"|"&amp;Tabela2[[#This Row],[Reference4]],""),"")</f>
        <v>Sleep, 2500|Send, ^{Left}|Send, 100|Send, ^{Right}|Send, MAT_KONFIG|Send, {Enter}|Sleep, 2500|Send, {Down}|Send, S15X6X100|Send, {Tab}|Send, {Tab}|Send, {Tab}|Send, {Tab}|Send, SINDOFORM K66-US|Send, {Tab}|Send, {Tab}|Send, {Tab}|Send, {Tab}|Send, {Tab}|Send, {Tab}|Send, {Tab}|Send, {Tab}|Send, {Tab}|Send, 449|Send, {Tab}|Send, {Tab}|Send, 467|Send, {F3}</v>
      </c>
    </row>
    <row r="12" spans="1:19">
      <c r="A12" t="str" cm="1">
        <f t="array" ref="A12">IFERROR(IF(Tabela2[[#This Row],[State]]="Automatico",IF(Tabela2[[#This Row],[Shape]]="","",(ROW()-1)*10),INDEX(Tabela2[[#All],[Item (Reference)]],ROW()-1)),"")</f>
        <v/>
      </c>
      <c r="B12" s="633">
        <f t="shared" si="1"/>
        <v>110</v>
      </c>
      <c r="C12" s="633" t="str">
        <f>IFERROR(IF(Tabela2[[#This Row],[Shape]]="","Automatico",IF(_xlfn.XLOOKUP(Tabela2[[#This Row],[Brand]],BRANDS[Brand],BRANDS[State])="Manual","Manual",IF(Tabela2[[#This Row],[Shape]]="-","Automatico",IF(_xlfn.XLOOKUP(Tabela2[[#This Row],[Shape]],SHAPES[Shape],SHAPES[State])="Manual","Manual","Automatico")))),"")</f>
        <v>Automatico</v>
      </c>
      <c r="D12" s="633" t="str">
        <f>IFERROR(IF(Tabela2[[#This Row],[Shape]]="","Normal",IF(_xlfn.XLOOKUP(Tabela2[[#This Row],[Brand]],BRANDS[Brand],BRANDS[Brand Type])="","Normal",_xlfn.XLOOKUP(Tabela2[[#This Row],[Brand]],BRANDS[Brand],BRANDS[Brand Type]))),"")</f>
        <v>Normal</v>
      </c>
      <c r="E12" s="633" t="s">
        <v>2288</v>
      </c>
      <c r="F12" s="635"/>
      <c r="G12" s="633"/>
      <c r="H12" s="636"/>
      <c r="I12" t="str">
        <f>IFERROR(IF(Tabela2[[#This Row],[Shape]]="","",IF(Tabela2[[#This Row],[Shape]]="-",Tabela2[[#This Row],[Qnt 1]]/1000,Tabela2[[#This Row],[Qnt 1]])),"")</f>
        <v/>
      </c>
      <c r="J12" t="str">
        <f>IFERROR(IF(Tabela2[[#This Row],[Shape]]="","",IF(Tabela2[[#This Row],[Shape]]="-",Tabela2[[#This Row],[Qnt 2]]/1000,Tabela2[[#This Row],[Qnt 2]])),"")</f>
        <v/>
      </c>
      <c r="K12" t="str" cm="1">
        <f t="array" aca="1" ref="K12" ca="1">IFERROR(IF(Tabela2[[#This Row],[Brand Type]]="Normal",Tabela2[[#This Row],[Brand]],_xlfn.CONCAT(MID(RIGHT(_xlfn.CONCAT(MID(Tabela2[[#This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 +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Row],[Brand]]))),1)),1)))-ROW(INDIRECT("1:" &amp;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f>
        <v>WALL WORKING</v>
      </c>
      <c r="L12" t="str" cm="1">
        <f t="array" aca="1" ref="L12" ca="1">IFERROR(IF(Tabela2[[#This Row],[Brand Type]]="Normal","",_xlfn.CONCAT(MID(LEFT(_xlfn.CONCAT(MID(Tabela2[[#This Row],[Brand]],1 + LEN(Tabela2[[#This Row],[Brand]])-ROW(INDIRECT("1:" &amp; LEN(Tabela2[[#This Row],[Brand]]))),1)),SEARCH(" ",_xlfn.CONCAT(MID(Tabela2[[#This Row],[Brand]],1 + LEN(Tabela2[[#This Row],[Brand]])-ROW(INDIRECT("1:" &amp; LEN(Tabela2[[#This Row],[Brand]]))),1)),1)-1),1 + LEN(LEFT(_xlfn.CONCAT(MID(Tabela2[[#This Row],[Brand]],1 + LEN(Tabela2[[#This Row],[Brand]])-ROW(INDIRECT("1:" &amp; LEN(Tabela2[[#This Row],[Brand]]))),1)),SEARCH(" ",_xlfn.CONCAT(MID(Tabela2[[#This Row],[Brand]],1 + LEN(Tabela2[[#This Row],[Brand]])-ROW(INDIRECT("1:" &amp; LEN(Tabela2[[#This Row],[Brand]]))),1)),1)-1))-ROW(INDIRECT("1:" &amp; LEN(LEFT(_xlfn.CONCAT(MID(Tabela2[[#This Row],[Brand]],1 + LEN(Tabela2[[#This Row],[Brand]])-ROW(INDIRECT("1:" &amp; LEN(Tabela2[[#This Row],[Brand]]))),1)),SEARCH(" ",_xlfn.CONCAT(MID(Tabela2[[#This Row],[Brand]],1 + LEN(Tabela2[[#This Row],[Brand]])-ROW(INDIRECT("1:" &amp; LEN(Tabela2[[#This Row],[Brand]]))),1)),1)-1)))),1))),"")</f>
        <v/>
      </c>
      <c r="M12">
        <f>IFERROR(IF(SAP_FINAL!$C$11="Office",2000,IF(SAP_FINAL!$C$11="VPN",3500,5000)),"")</f>
        <v>2000</v>
      </c>
      <c r="N12">
        <f>IFERROR(IF(SAP_FINAL!$C$11="Office",2500,IF(SAP_FINAL!$C$11="VPN",4000,5000)),"")</f>
        <v>2500</v>
      </c>
      <c r="O12" t="str" cm="1">
        <f t="array" ref="O12">IFERROR(IF(ROW(Tabela2[[#This Row],[Brand]])=2,"Send, "&amp;Tabela2[[#This Row],[Item]]&amp;"|Send, ^{Right}|Send, ^{Right}|Send, ^{Right}|Send, " &amp;LEFT(TRIM(Tabela2[[#This Row],[Brand]]),38)&amp;"|Send, {Enter}",IF(Tabela2[[#This Row],[Item (Reference)]]&lt;&gt;"",IF(INDEX(Tabela2[[#All],[Item (Reference)]],ROW()-1)="",IF(Tabela2[[#This Row],[Shape]]="","Sleep, "&amp;Tabela2[[#This Row],[Delay2]]&amp;"|Send, ^{Left}|Send, "&amp;Tabela2[[#This Row],[Item]]&amp;"|Send, ^{Right}|Send, ^{Right}|Send, ^{Right}|Send, "&amp;LEFT(TRIM(Tabela2[[#This Row],[Brand]]),38)&amp;"|Send, {Enter}","Sleep, "&amp;Tabela2[[#This Row],[Delay1]]&amp;"|Send, ^{Left}|Send, "&amp;Tabela2[[#This Row],[Item]]&amp;"|Send, ^{Right}|Send, MAT_KONFIG|Send, {Enter}"),"Sleep, "&amp;Tabela2[[#This Row],[Delay2]]&amp;"|Send, ^{Left}|Send, "&amp;Tabela2[[#This Row],[Item]]&amp;"|Send, ^{Right}|Send, MAT_KONFIG|Send, {Enter}"),"Sleep, "&amp;Tabela2[[#This Row],[Delay2]]&amp;"|Send, ^{Left}|Send, "&amp;Tabela2[[#This Row],[Item]]&amp;"|Send, ^{Right}|Send, ^{Right}|Send, ^{Right}|Send, "&amp;LEFT(TRIM(Tabela2[[#This Row],[Brand]]),38)&amp;"|Send, {Enter}")),"")</f>
        <v>Sleep, 2500|Send, ^{Left}|Send, 110|Send, ^{Right}|Send, ^{Right}|Send, ^{Right}|Send, WALL WORKING|Send, {Enter}</v>
      </c>
      <c r="P12" t="str">
        <f>IFERROR("Sleep, "&amp;Tabela2[[#This Row],[Delay2]]&amp;"|Send, U|Send, {Tab}|Send, {Tab}|Send, {Tab}|Send, {Tab}|Send, {Tab}|Send, {Tab}|Send, "&amp;TRIM(Tabela2[[#This Row],[Brand]])&amp;"|Send, {Tab}|Send, {Tab}|Send, {Tab}|Send, {Tab}|Send, {Tab}|Send, {Tab}|Send, {Tab}|Send, {Tab}|Send, {Tab}|Send, "&amp;SUBSTITUTE(Tabela2[[#This Row],[Qnt 1 (Reference)]],".",",")&amp;"|Send, {Tab}|Send, {Tab}|Send, "&amp;SUBSTITUTE(Tabela2[[#This Row],[Qnt 2 (Reference)]],".",",")&amp;"|Send, {F3}","")</f>
        <v>Sleep, 2500|Send, U|Send, {Tab}|Send, {Tab}|Send, {Tab}|Send, {Tab}|Send, {Tab}|Send, {Tab}|Send, WALL WORKING|Send, {Tab}|Send, {Tab}|Send, {Tab}|Send, {Tab}|Send, {Tab}|Send, {Tab}|Send, {Tab}|Send, {Tab}|Send, {Tab}|Send, |Send, {Tab}|Send, {Tab}|Send, |Send, {F3}</v>
      </c>
      <c r="Q12" t="str">
        <f ca="1">IFERROR("Sleep, "&amp;Tabela2[[#This Row],[Delay2]]&amp;"|Send, {Down}|Send, "&amp;SUBSTITUTE(SUBSTITUTE(Tabela2[[#This Row],[Shape]],"+","{+}")," ","")&amp;"|Send, {Tab}|Send, {Tab}|Send, {Tab}|Send, {Tab}|Send, "&amp;Tabela2[[#This Row],[Brand (Reference)]]&amp;"|Send, {Tab}|Send, {Tab}|Send, {Tab}|"&amp;IF(Tabela2[[#This Row],[Brand Type]]="Normal","","Send, "&amp;Tabela2[[#This Row],[Add-On]]&amp;"|")&amp;"Send, {Tab}|Send, {Tab}|Send, {Tab}|Send, {Tab}|Send, {Tab}|Send, {Tab}|Send, "&amp;SUBSTITUTE(Tabela2[[#This Row],[Qnt 1 (Reference)]],".",",")&amp;"|Send, {Tab}|Send, {Tab}|Send, "&amp;SUBSTITUTE(Tabela2[[#This Row],[Qnt 2 (Reference)]],".",",")&amp;"|Send, {F3}","")</f>
        <v>Sleep, 2500|Send, {Down}|Send, |Send, {Tab}|Send, {Tab}|Send, {Tab}|Send, {Tab}|Send, WALL WORKING|Send, {Tab}|Send, {Tab}|Send, {Tab}|Send, {Tab}|Send, {Tab}|Send, {Tab}|Send, {Tab}|Send, {Tab}|Send, {Tab}|Send, |Send, {Tab}|Send, {Tab}|Send, |Send, {F3}</v>
      </c>
      <c r="R12" t="str">
        <f>IFERROR(IF(Tabela2[[#This Row],[Item (Reference)]]="","",IF(Tabela2[[#This Row],[Shape]]="-",Tabela2[[#This Row],[Reference2]],Tabela2[[#This Row],[Reference3]])),"")</f>
        <v/>
      </c>
      <c r="S12" t="str">
        <f>IFERROR(IF(Tabela2[[#This Row],[State]]="Automatico",Tabela2[[#This Row],[Reference1]]&amp;"|"&amp;Tabela2[[#This Row],[Reference4]],""),"")</f>
        <v>Sleep, 2500|Send, ^{Left}|Send, 110|Send, ^{Right}|Send, ^{Right}|Send, ^{Right}|Send, WALL WORKING|Send, {Enter}|</v>
      </c>
    </row>
    <row r="13" spans="1:19">
      <c r="A13" cm="1">
        <f t="array" ref="A13">IFERROR(IF(Tabela2[[#This Row],[State]]="Automatico",IF(Tabela2[[#This Row],[Shape]]="","",(ROW()-1)*10),INDEX(Tabela2[[#All],[Item (Reference)]],ROW()-1)),"")</f>
        <v>120</v>
      </c>
      <c r="B13" s="633">
        <f t="shared" si="1"/>
        <v>120</v>
      </c>
      <c r="C13" s="633" t="str">
        <f>IFERROR(IF(Tabela2[[#This Row],[Shape]]="","Automatico",IF(_xlfn.XLOOKUP(Tabela2[[#This Row],[Brand]],BRANDS[Brand],BRANDS[State])="Manual","Manual",IF(Tabela2[[#This Row],[Shape]]="-","Automatico",IF(_xlfn.XLOOKUP(Tabela2[[#This Row],[Shape]],SHAPES[Shape],SHAPES[State])="Manual","Manual","Automatico")))),"")</f>
        <v>Automatico</v>
      </c>
      <c r="D13" s="633" t="str">
        <f>IFERROR(IF(Tabela2[[#This Row],[Shape]]="","Normal",IF(_xlfn.XLOOKUP(Tabela2[[#This Row],[Brand]],BRANDS[Brand],BRANDS[Brand Type])="","Normal",_xlfn.XLOOKUP(Tabela2[[#This Row],[Brand]],BRANDS[Brand],BRANDS[Brand Type]))),"")</f>
        <v>Normal</v>
      </c>
      <c r="E13" s="633" t="s">
        <v>2294</v>
      </c>
      <c r="F13" s="635" t="s">
        <v>255</v>
      </c>
      <c r="G13" s="633">
        <v>47</v>
      </c>
      <c r="H13" s="636">
        <v>52</v>
      </c>
      <c r="I13">
        <f>IFERROR(IF(Tabela2[[#This Row],[Shape]]="","",IF(Tabela2[[#This Row],[Shape]]="-",Tabela2[[#This Row],[Qnt 1]]/1000,Tabela2[[#This Row],[Qnt 1]])),"")</f>
        <v>47</v>
      </c>
      <c r="J13">
        <f>IFERROR(IF(Tabela2[[#This Row],[Shape]]="","",IF(Tabela2[[#This Row],[Shape]]="-",Tabela2[[#This Row],[Qnt 2]]/1000,Tabela2[[#This Row],[Qnt 2]])),"")</f>
        <v>52</v>
      </c>
      <c r="K13" t="str" cm="1">
        <f t="array" aca="1" ref="K13" ca="1">IFERROR(IF(Tabela2[[#This Row],[Brand Type]]="Normal",Tabela2[[#This Row],[Brand]],_xlfn.CONCAT(MID(RIGHT(_xlfn.CONCAT(MID(Tabela2[[#This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 +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Row],[Brand]]))),1)),1)))-ROW(INDIRECT("1:" &amp;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f>
        <v>SINDOFORM HF65-T1-EU</v>
      </c>
      <c r="L13" t="str" cm="1">
        <f t="array" aca="1" ref="L13" ca="1">IFERROR(IF(Tabela2[[#This Row],[Brand Type]]="Normal","",_xlfn.CONCAT(MID(LEFT(_xlfn.CONCAT(MID(Tabela2[[#This Row],[Brand]],1 + LEN(Tabela2[[#This Row],[Brand]])-ROW(INDIRECT("1:" &amp; LEN(Tabela2[[#This Row],[Brand]]))),1)),SEARCH(" ",_xlfn.CONCAT(MID(Tabela2[[#This Row],[Brand]],1 + LEN(Tabela2[[#This Row],[Brand]])-ROW(INDIRECT("1:" &amp; LEN(Tabela2[[#This Row],[Brand]]))),1)),1)-1),1 + LEN(LEFT(_xlfn.CONCAT(MID(Tabela2[[#This Row],[Brand]],1 + LEN(Tabela2[[#This Row],[Brand]])-ROW(INDIRECT("1:" &amp; LEN(Tabela2[[#This Row],[Brand]]))),1)),SEARCH(" ",_xlfn.CONCAT(MID(Tabela2[[#This Row],[Brand]],1 + LEN(Tabela2[[#This Row],[Brand]])-ROW(INDIRECT("1:" &amp; LEN(Tabela2[[#This Row],[Brand]]))),1)),1)-1))-ROW(INDIRECT("1:" &amp; LEN(LEFT(_xlfn.CONCAT(MID(Tabela2[[#This Row],[Brand]],1 + LEN(Tabela2[[#This Row],[Brand]])-ROW(INDIRECT("1:" &amp; LEN(Tabela2[[#This Row],[Brand]]))),1)),SEARCH(" ",_xlfn.CONCAT(MID(Tabela2[[#This Row],[Brand]],1 + LEN(Tabela2[[#This Row],[Brand]])-ROW(INDIRECT("1:" &amp; LEN(Tabela2[[#This Row],[Brand]]))),1)),1)-1)))),1))),"")</f>
        <v/>
      </c>
      <c r="M13">
        <f>IFERROR(IF(SAP_FINAL!$C$11="Office",2000,IF(SAP_FINAL!$C$11="VPN",3500,5000)),"")</f>
        <v>2000</v>
      </c>
      <c r="N13">
        <f>IFERROR(IF(SAP_FINAL!$C$11="Office",2500,IF(SAP_FINAL!$C$11="VPN",4000,5000)),"")</f>
        <v>2500</v>
      </c>
      <c r="O13" t="str" cm="1">
        <f t="array" ref="O13">IFERROR(IF(ROW(Tabela2[[#This Row],[Brand]])=2,"Send, "&amp;Tabela2[[#This Row],[Item]]&amp;"|Send, ^{Right}|Send, ^{Right}|Send, ^{Right}|Send, " &amp;LEFT(TRIM(Tabela2[[#This Row],[Brand]]),38)&amp;"|Send, {Enter}",IF(Tabela2[[#This Row],[Item (Reference)]]&lt;&gt;"",IF(INDEX(Tabela2[[#All],[Item (Reference)]],ROW()-1)="",IF(Tabela2[[#This Row],[Shape]]="","Sleep, "&amp;Tabela2[[#This Row],[Delay2]]&amp;"|Send, ^{Left}|Send, "&amp;Tabela2[[#This Row],[Item]]&amp;"|Send, ^{Right}|Send, ^{Right}|Send, ^{Right}|Send, "&amp;LEFT(TRIM(Tabela2[[#This Row],[Brand]]),38)&amp;"|Send, {Enter}","Sleep, "&amp;Tabela2[[#This Row],[Delay1]]&amp;"|Send, ^{Left}|Send, "&amp;Tabela2[[#This Row],[Item]]&amp;"|Send, ^{Right}|Send, MAT_KONFIG|Send, {Enter}"),"Sleep, "&amp;Tabela2[[#This Row],[Delay2]]&amp;"|Send, ^{Left}|Send, "&amp;Tabela2[[#This Row],[Item]]&amp;"|Send, ^{Right}|Send, MAT_KONFIG|Send, {Enter}"),"Sleep, "&amp;Tabela2[[#This Row],[Delay2]]&amp;"|Send, ^{Left}|Send, "&amp;Tabela2[[#This Row],[Item]]&amp;"|Send, ^{Right}|Send, ^{Right}|Send, ^{Right}|Send, "&amp;LEFT(TRIM(Tabela2[[#This Row],[Brand]]),38)&amp;"|Send, {Enter}")),"")</f>
        <v>Sleep, 2000|Send, ^{Left}|Send, 120|Send, ^{Right}|Send, MAT_KONFIG|Send, {Enter}</v>
      </c>
      <c r="P13" t="str">
        <f>IFERROR("Sleep, "&amp;Tabela2[[#This Row],[Delay2]]&amp;"|Send, U|Send, {Tab}|Send, {Tab}|Send, {Tab}|Send, {Tab}|Send, {Tab}|Send, {Tab}|Send, "&amp;TRIM(Tabela2[[#This Row],[Brand]])&amp;"|Send, {Tab}|Send, {Tab}|Send, {Tab}|Send, {Tab}|Send, {Tab}|Send, {Tab}|Send, {Tab}|Send, {Tab}|Send, {Tab}|Send, "&amp;SUBSTITUTE(Tabela2[[#This Row],[Qnt 1 (Reference)]],".",",")&amp;"|Send, {Tab}|Send, {Tab}|Send, "&amp;SUBSTITUTE(Tabela2[[#This Row],[Qnt 2 (Reference)]],".",",")&amp;"|Send, {F3}","")</f>
        <v>Sleep, 2500|Send, U|Send, {Tab}|Send, {Tab}|Send, {Tab}|Send, {Tab}|Send, {Tab}|Send, {Tab}|Send, SINDOFORM HF65-T1-EU|Send, {Tab}|Send, {Tab}|Send, {Tab}|Send, {Tab}|Send, {Tab}|Send, {Tab}|Send, {Tab}|Send, {Tab}|Send, {Tab}|Send, 47|Send, {Tab}|Send, {Tab}|Send, 52|Send, {F3}</v>
      </c>
      <c r="Q13" t="str">
        <f ca="1">IFERROR("Sleep, "&amp;Tabela2[[#This Row],[Delay2]]&amp;"|Send, {Down}|Send, "&amp;SUBSTITUTE(SUBSTITUTE(Tabela2[[#This Row],[Shape]],"+","{+}")," ","")&amp;"|Send, {Tab}|Send, {Tab}|Send, {Tab}|Send, {Tab}|Send, "&amp;Tabela2[[#This Row],[Brand (Reference)]]&amp;"|Send, {Tab}|Send, {Tab}|Send, {Tab}|"&amp;IF(Tabela2[[#This Row],[Brand Type]]="Normal","","Send, "&amp;Tabela2[[#This Row],[Add-On]]&amp;"|")&amp;"Send, {Tab}|Send, {Tab}|Send, {Tab}|Send, {Tab}|Send, {Tab}|Send, {Tab}|Send, "&amp;SUBSTITUTE(Tabela2[[#This Row],[Qnt 1 (Reference)]],".",",")&amp;"|Send, {Tab}|Send, {Tab}|Send, "&amp;SUBSTITUTE(Tabela2[[#This Row],[Qnt 2 (Reference)]],".",",")&amp;"|Send, {F3}","")</f>
        <v>Sleep, 2500|Send, {Down}|Send, 100/120|Send, {Tab}|Send, {Tab}|Send, {Tab}|Send, {Tab}|Send, SINDOFORM HF65-T1-EU|Send, {Tab}|Send, {Tab}|Send, {Tab}|Send, {Tab}|Send, {Tab}|Send, {Tab}|Send, {Tab}|Send, {Tab}|Send, {Tab}|Send, 47|Send, {Tab}|Send, {Tab}|Send, 52|Send, {F3}</v>
      </c>
      <c r="R13" t="str">
        <f ca="1">IFERROR(IF(Tabela2[[#This Row],[Item (Reference)]]="","",IF(Tabela2[[#This Row],[Shape]]="-",Tabela2[[#This Row],[Reference2]],Tabela2[[#This Row],[Reference3]])),"")</f>
        <v>Sleep, 2500|Send, {Down}|Send, 100/120|Send, {Tab}|Send, {Tab}|Send, {Tab}|Send, {Tab}|Send, SINDOFORM HF65-T1-EU|Send, {Tab}|Send, {Tab}|Send, {Tab}|Send, {Tab}|Send, {Tab}|Send, {Tab}|Send, {Tab}|Send, {Tab}|Send, {Tab}|Send, 47|Send, {Tab}|Send, {Tab}|Send, 52|Send, {F3}</v>
      </c>
      <c r="S13" t="str">
        <f ca="1">IFERROR(IF(Tabela2[[#This Row],[State]]="Automatico",Tabela2[[#This Row],[Reference1]]&amp;"|"&amp;Tabela2[[#This Row],[Reference4]],""),"")</f>
        <v>Sleep, 2000|Send, ^{Left}|Send, 120|Send, ^{Right}|Send, MAT_KONFIG|Send, {Enter}|Sleep, 2500|Send, {Down}|Send, 100/120|Send, {Tab}|Send, {Tab}|Send, {Tab}|Send, {Tab}|Send, SINDOFORM HF65-T1-EU|Send, {Tab}|Send, {Tab}|Send, {Tab}|Send, {Tab}|Send, {Tab}|Send, {Tab}|Send, {Tab}|Send, {Tab}|Send, {Tab}|Send, 47|Send, {Tab}|Send, {Tab}|Send, 52|Send, {F3}</v>
      </c>
    </row>
    <row r="14" spans="1:19">
      <c r="A14" cm="1">
        <f t="array" ref="A14">IFERROR(IF(Tabela2[[#This Row],[State]]="Automatico",IF(Tabela2[[#This Row],[Shape]]="","",(ROW()-1)*10),INDEX(Tabela2[[#All],[Item (Reference)]],ROW()-1)),"")</f>
        <v>130</v>
      </c>
      <c r="B14" s="633">
        <f t="shared" si="1"/>
        <v>130</v>
      </c>
      <c r="C14" s="633" t="str">
        <f>IFERROR(IF(Tabela2[[#This Row],[Shape]]="","Automatico",IF(_xlfn.XLOOKUP(Tabela2[[#This Row],[Brand]],BRANDS[Brand],BRANDS[State])="Manual","Manual",IF(Tabela2[[#This Row],[Shape]]="-","Automatico",IF(_xlfn.XLOOKUP(Tabela2[[#This Row],[Shape]],SHAPES[Shape],SHAPES[State])="Manual","Manual","Automatico")))),"")</f>
        <v>Automatico</v>
      </c>
      <c r="D14" s="633" t="str">
        <f>IFERROR(IF(Tabela2[[#This Row],[Shape]]="","Normal",IF(_xlfn.XLOOKUP(Tabela2[[#This Row],[Brand]],BRANDS[Brand],BRANDS[Brand Type])="","Normal",_xlfn.XLOOKUP(Tabela2[[#This Row],[Brand]],BRANDS[Brand],BRANDS[Brand Type]))),"")</f>
        <v>Normal</v>
      </c>
      <c r="E14" s="633" t="s">
        <v>2294</v>
      </c>
      <c r="F14" s="635" t="s">
        <v>2295</v>
      </c>
      <c r="G14" s="633">
        <v>6</v>
      </c>
      <c r="H14" s="636">
        <v>7</v>
      </c>
      <c r="I14">
        <f>IFERROR(IF(Tabela2[[#This Row],[Shape]]="","",IF(Tabela2[[#This Row],[Shape]]="-",Tabela2[[#This Row],[Qnt 1]]/1000,Tabela2[[#This Row],[Qnt 1]])),"")</f>
        <v>6</v>
      </c>
      <c r="J14">
        <f>IFERROR(IF(Tabela2[[#This Row],[Shape]]="","",IF(Tabela2[[#This Row],[Shape]]="-",Tabela2[[#This Row],[Qnt 2]]/1000,Tabela2[[#This Row],[Qnt 2]])),"")</f>
        <v>7</v>
      </c>
      <c r="K14" t="str" cm="1">
        <f t="array" aca="1" ref="K14" ca="1">IFERROR(IF(Tabela2[[#This Row],[Brand Type]]="Normal",Tabela2[[#This Row],[Brand]],_xlfn.CONCAT(MID(RIGHT(_xlfn.CONCAT(MID(Tabela2[[#This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 +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Row],[Brand]]))),1)),1)))-ROW(INDIRECT("1:" &amp;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f>
        <v>SINDOFORM HF65-T1-EU</v>
      </c>
      <c r="L14" t="str" cm="1">
        <f t="array" aca="1" ref="L14" ca="1">IFERROR(IF(Tabela2[[#This Row],[Brand Type]]="Normal","",_xlfn.CONCAT(MID(LEFT(_xlfn.CONCAT(MID(Tabela2[[#This Row],[Brand]],1 + LEN(Tabela2[[#This Row],[Brand]])-ROW(INDIRECT("1:" &amp; LEN(Tabela2[[#This Row],[Brand]]))),1)),SEARCH(" ",_xlfn.CONCAT(MID(Tabela2[[#This Row],[Brand]],1 + LEN(Tabela2[[#This Row],[Brand]])-ROW(INDIRECT("1:" &amp; LEN(Tabela2[[#This Row],[Brand]]))),1)),1)-1),1 + LEN(LEFT(_xlfn.CONCAT(MID(Tabela2[[#This Row],[Brand]],1 + LEN(Tabela2[[#This Row],[Brand]])-ROW(INDIRECT("1:" &amp; LEN(Tabela2[[#This Row],[Brand]]))),1)),SEARCH(" ",_xlfn.CONCAT(MID(Tabela2[[#This Row],[Brand]],1 + LEN(Tabela2[[#This Row],[Brand]])-ROW(INDIRECT("1:" &amp; LEN(Tabela2[[#This Row],[Brand]]))),1)),1)-1))-ROW(INDIRECT("1:" &amp; LEN(LEFT(_xlfn.CONCAT(MID(Tabela2[[#This Row],[Brand]],1 + LEN(Tabela2[[#This Row],[Brand]])-ROW(INDIRECT("1:" &amp; LEN(Tabela2[[#This Row],[Brand]]))),1)),SEARCH(" ",_xlfn.CONCAT(MID(Tabela2[[#This Row],[Brand]],1 + LEN(Tabela2[[#This Row],[Brand]])-ROW(INDIRECT("1:" &amp; LEN(Tabela2[[#This Row],[Brand]]))),1)),1)-1)))),1))),"")</f>
        <v/>
      </c>
      <c r="M14">
        <f>IFERROR(IF(SAP_FINAL!$C$11="Office",2000,IF(SAP_FINAL!$C$11="VPN",3500,5000)),"")</f>
        <v>2000</v>
      </c>
      <c r="N14">
        <f>IFERROR(IF(SAP_FINAL!$C$11="Office",2500,IF(SAP_FINAL!$C$11="VPN",4000,5000)),"")</f>
        <v>2500</v>
      </c>
      <c r="O14" t="str" cm="1">
        <f t="array" ref="O14">IFERROR(IF(ROW(Tabela2[[#This Row],[Brand]])=2,"Send, "&amp;Tabela2[[#This Row],[Item]]&amp;"|Send, ^{Right}|Send, ^{Right}|Send, ^{Right}|Send, " &amp;LEFT(TRIM(Tabela2[[#This Row],[Brand]]),38)&amp;"|Send, {Enter}",IF(Tabela2[[#This Row],[Item (Reference)]]&lt;&gt;"",IF(INDEX(Tabela2[[#All],[Item (Reference)]],ROW()-1)="",IF(Tabela2[[#This Row],[Shape]]="","Sleep, "&amp;Tabela2[[#This Row],[Delay2]]&amp;"|Send, ^{Left}|Send, "&amp;Tabela2[[#This Row],[Item]]&amp;"|Send, ^{Right}|Send, ^{Right}|Send, ^{Right}|Send, "&amp;LEFT(TRIM(Tabela2[[#This Row],[Brand]]),38)&amp;"|Send, {Enter}","Sleep, "&amp;Tabela2[[#This Row],[Delay1]]&amp;"|Send, ^{Left}|Send, "&amp;Tabela2[[#This Row],[Item]]&amp;"|Send, ^{Right}|Send, MAT_KONFIG|Send, {Enter}"),"Sleep, "&amp;Tabela2[[#This Row],[Delay2]]&amp;"|Send, ^{Left}|Send, "&amp;Tabela2[[#This Row],[Item]]&amp;"|Send, ^{Right}|Send, MAT_KONFIG|Send, {Enter}"),"Sleep, "&amp;Tabela2[[#This Row],[Delay2]]&amp;"|Send, ^{Left}|Send, "&amp;Tabela2[[#This Row],[Item]]&amp;"|Send, ^{Right}|Send, ^{Right}|Send, ^{Right}|Send, "&amp;LEFT(TRIM(Tabela2[[#This Row],[Brand]]),38)&amp;"|Send, {Enter}")),"")</f>
        <v>Sleep, 2500|Send, ^{Left}|Send, 130|Send, ^{Right}|Send, MAT_KONFIG|Send, {Enter}</v>
      </c>
      <c r="P14" t="str">
        <f>IFERROR("Sleep, "&amp;Tabela2[[#This Row],[Delay2]]&amp;"|Send, U|Send, {Tab}|Send, {Tab}|Send, {Tab}|Send, {Tab}|Send, {Tab}|Send, {Tab}|Send, "&amp;TRIM(Tabela2[[#This Row],[Brand]])&amp;"|Send, {Tab}|Send, {Tab}|Send, {Tab}|Send, {Tab}|Send, {Tab}|Send, {Tab}|Send, {Tab}|Send, {Tab}|Send, {Tab}|Send, "&amp;SUBSTITUTE(Tabela2[[#This Row],[Qnt 1 (Reference)]],".",",")&amp;"|Send, {Tab}|Send, {Tab}|Send, "&amp;SUBSTITUTE(Tabela2[[#This Row],[Qnt 2 (Reference)]],".",",")&amp;"|Send, {F3}","")</f>
        <v>Sleep, 2500|Send, U|Send, {Tab}|Send, {Tab}|Send, {Tab}|Send, {Tab}|Send, {Tab}|Send, {Tab}|Send, SINDOFORM HF65-T1-EU|Send, {Tab}|Send, {Tab}|Send, {Tab}|Send, {Tab}|Send, {Tab}|Send, {Tab}|Send, {Tab}|Send, {Tab}|Send, {Tab}|Send, 6|Send, {Tab}|Send, {Tab}|Send, 7|Send, {F3}</v>
      </c>
      <c r="Q14" t="str">
        <f ca="1">IFERROR("Sleep, "&amp;Tabela2[[#This Row],[Delay2]]&amp;"|Send, {Down}|Send, "&amp;SUBSTITUTE(SUBSTITUTE(Tabela2[[#This Row],[Shape]],"+","{+}")," ","")&amp;"|Send, {Tab}|Send, {Tab}|Send, {Tab}|Send, {Tab}|Send, "&amp;Tabela2[[#This Row],[Brand (Reference)]]&amp;"|Send, {Tab}|Send, {Tab}|Send, {Tab}|"&amp;IF(Tabela2[[#This Row],[Brand Type]]="Normal","","Send, "&amp;Tabela2[[#This Row],[Add-On]]&amp;"|")&amp;"Send, {Tab}|Send, {Tab}|Send, {Tab}|Send, {Tab}|Send, {Tab}|Send, {Tab}|Send, "&amp;SUBSTITUTE(Tabela2[[#This Row],[Qnt 1 (Reference)]],".",",")&amp;"|Send, {Tab}|Send, {Tab}|Send, "&amp;SUBSTITUTE(Tabela2[[#This Row],[Qnt 2 (Reference)]],".",",")&amp;"|Send, {F3}","")</f>
        <v>Sleep, 2500|Send, {Down}|Send, 100/20AVE1|Send, {Tab}|Send, {Tab}|Send, {Tab}|Send, {Tab}|Send, SINDOFORM HF65-T1-EU|Send, {Tab}|Send, {Tab}|Send, {Tab}|Send, {Tab}|Send, {Tab}|Send, {Tab}|Send, {Tab}|Send, {Tab}|Send, {Tab}|Send, 6|Send, {Tab}|Send, {Tab}|Send, 7|Send, {F3}</v>
      </c>
      <c r="R14" t="str">
        <f ca="1">IFERROR(IF(Tabela2[[#This Row],[Item (Reference)]]="","",IF(Tabela2[[#This Row],[Shape]]="-",Tabela2[[#This Row],[Reference2]],Tabela2[[#This Row],[Reference3]])),"")</f>
        <v>Sleep, 2500|Send, {Down}|Send, 100/20AVE1|Send, {Tab}|Send, {Tab}|Send, {Tab}|Send, {Tab}|Send, SINDOFORM HF65-T1-EU|Send, {Tab}|Send, {Tab}|Send, {Tab}|Send, {Tab}|Send, {Tab}|Send, {Tab}|Send, {Tab}|Send, {Tab}|Send, {Tab}|Send, 6|Send, {Tab}|Send, {Tab}|Send, 7|Send, {F3}</v>
      </c>
      <c r="S14" t="str">
        <f ca="1">IFERROR(IF(Tabela2[[#This Row],[State]]="Automatico",Tabela2[[#This Row],[Reference1]]&amp;"|"&amp;Tabela2[[#This Row],[Reference4]],""),"")</f>
        <v>Sleep, 2500|Send, ^{Left}|Send, 130|Send, ^{Right}|Send, MAT_KONFIG|Send, {Enter}|Sleep, 2500|Send, {Down}|Send, 100/20AVE1|Send, {Tab}|Send, {Tab}|Send, {Tab}|Send, {Tab}|Send, SINDOFORM HF65-T1-EU|Send, {Tab}|Send, {Tab}|Send, {Tab}|Send, {Tab}|Send, {Tab}|Send, {Tab}|Send, {Tab}|Send, {Tab}|Send, {Tab}|Send, 6|Send, {Tab}|Send, {Tab}|Send, 7|Send, {F3}</v>
      </c>
    </row>
    <row r="15" spans="1:19">
      <c r="A15" cm="1">
        <f t="array" ref="A15">IFERROR(IF(Tabela2[[#This Row],[State]]="Automatico",IF(Tabela2[[#This Row],[Shape]]="","",(ROW()-1)*10),INDEX(Tabela2[[#All],[Item (Reference)]],ROW()-1)),"")</f>
        <v>140</v>
      </c>
      <c r="B15" s="633">
        <f t="shared" si="1"/>
        <v>140</v>
      </c>
      <c r="C15" s="633" t="str">
        <f>IFERROR(IF(Tabela2[[#This Row],[Shape]]="","Automatico",IF(_xlfn.XLOOKUP(Tabela2[[#This Row],[Brand]],BRANDS[Brand],BRANDS[State])="Manual","Manual",IF(Tabela2[[#This Row],[Shape]]="-","Automatico",IF(_xlfn.XLOOKUP(Tabela2[[#This Row],[Shape]],SHAPES[Shape],SHAPES[State])="Manual","Manual","Automatico")))),"")</f>
        <v>Automatico</v>
      </c>
      <c r="D15" s="633" t="str">
        <f>IFERROR(IF(Tabela2[[#This Row],[Shape]]="","Normal",IF(_xlfn.XLOOKUP(Tabela2[[#This Row],[Brand]],BRANDS[Brand],BRANDS[Brand Type])="","Normal",_xlfn.XLOOKUP(Tabela2[[#This Row],[Brand]],BRANDS[Brand],BRANDS[Brand Type]))),"")</f>
        <v>Normal</v>
      </c>
      <c r="E15" s="633" t="s">
        <v>2294</v>
      </c>
      <c r="F15" s="635" t="s">
        <v>254</v>
      </c>
      <c r="G15" s="633">
        <v>28</v>
      </c>
      <c r="H15" s="636">
        <v>31</v>
      </c>
      <c r="I15">
        <f>IFERROR(IF(Tabela2[[#This Row],[Shape]]="","",IF(Tabela2[[#This Row],[Shape]]="-",Tabela2[[#This Row],[Qnt 1]]/1000,Tabela2[[#This Row],[Qnt 1]])),"")</f>
        <v>28</v>
      </c>
      <c r="J15">
        <f>IFERROR(IF(Tabela2[[#This Row],[Shape]]="","",IF(Tabela2[[#This Row],[Shape]]="-",Tabela2[[#This Row],[Qnt 2]]/1000,Tabela2[[#This Row],[Qnt 2]])),"")</f>
        <v>31</v>
      </c>
      <c r="K15" t="str" cm="1">
        <f t="array" aca="1" ref="K15" ca="1">IFERROR(IF(Tabela2[[#This Row],[Brand Type]]="Normal",Tabela2[[#This Row],[Brand]],_xlfn.CONCAT(MID(RIGHT(_xlfn.CONCAT(MID(Tabela2[[#This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 +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Row],[Brand]]))),1)),1)))-ROW(INDIRECT("1:" &amp;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f>
        <v>SINDOFORM HF65-T1-EU</v>
      </c>
      <c r="L15" t="str" cm="1">
        <f t="array" aca="1" ref="L15" ca="1">IFERROR(IF(Tabela2[[#This Row],[Brand Type]]="Normal","",_xlfn.CONCAT(MID(LEFT(_xlfn.CONCAT(MID(Tabela2[[#This Row],[Brand]],1 + LEN(Tabela2[[#This Row],[Brand]])-ROW(INDIRECT("1:" &amp; LEN(Tabela2[[#This Row],[Brand]]))),1)),SEARCH(" ",_xlfn.CONCAT(MID(Tabela2[[#This Row],[Brand]],1 + LEN(Tabela2[[#This Row],[Brand]])-ROW(INDIRECT("1:" &amp; LEN(Tabela2[[#This Row],[Brand]]))),1)),1)-1),1 + LEN(LEFT(_xlfn.CONCAT(MID(Tabela2[[#This Row],[Brand]],1 + LEN(Tabela2[[#This Row],[Brand]])-ROW(INDIRECT("1:" &amp; LEN(Tabela2[[#This Row],[Brand]]))),1)),SEARCH(" ",_xlfn.CONCAT(MID(Tabela2[[#This Row],[Brand]],1 + LEN(Tabela2[[#This Row],[Brand]])-ROW(INDIRECT("1:" &amp; LEN(Tabela2[[#This Row],[Brand]]))),1)),1)-1))-ROW(INDIRECT("1:" &amp; LEN(LEFT(_xlfn.CONCAT(MID(Tabela2[[#This Row],[Brand]],1 + LEN(Tabela2[[#This Row],[Brand]])-ROW(INDIRECT("1:" &amp; LEN(Tabela2[[#This Row],[Brand]]))),1)),SEARCH(" ",_xlfn.CONCAT(MID(Tabela2[[#This Row],[Brand]],1 + LEN(Tabela2[[#This Row],[Brand]])-ROW(INDIRECT("1:" &amp; LEN(Tabela2[[#This Row],[Brand]]))),1)),1)-1)))),1))),"")</f>
        <v/>
      </c>
      <c r="M15">
        <f>IFERROR(IF(SAP_FINAL!$C$11="Office",2000,IF(SAP_FINAL!$C$11="VPN",3500,5000)),"")</f>
        <v>2000</v>
      </c>
      <c r="N15">
        <f>IFERROR(IF(SAP_FINAL!$C$11="Office",2500,IF(SAP_FINAL!$C$11="VPN",4000,5000)),"")</f>
        <v>2500</v>
      </c>
      <c r="O15" t="str" cm="1">
        <f t="array" ref="O15">IFERROR(IF(ROW(Tabela2[[#This Row],[Brand]])=2,"Send, "&amp;Tabela2[[#This Row],[Item]]&amp;"|Send, ^{Right}|Send, ^{Right}|Send, ^{Right}|Send, " &amp;LEFT(TRIM(Tabela2[[#This Row],[Brand]]),38)&amp;"|Send, {Enter}",IF(Tabela2[[#This Row],[Item (Reference)]]&lt;&gt;"",IF(INDEX(Tabela2[[#All],[Item (Reference)]],ROW()-1)="",IF(Tabela2[[#This Row],[Shape]]="","Sleep, "&amp;Tabela2[[#This Row],[Delay2]]&amp;"|Send, ^{Left}|Send, "&amp;Tabela2[[#This Row],[Item]]&amp;"|Send, ^{Right}|Send, ^{Right}|Send, ^{Right}|Send, "&amp;LEFT(TRIM(Tabela2[[#This Row],[Brand]]),38)&amp;"|Send, {Enter}","Sleep, "&amp;Tabela2[[#This Row],[Delay1]]&amp;"|Send, ^{Left}|Send, "&amp;Tabela2[[#This Row],[Item]]&amp;"|Send, ^{Right}|Send, MAT_KONFIG|Send, {Enter}"),"Sleep, "&amp;Tabela2[[#This Row],[Delay2]]&amp;"|Send, ^{Left}|Send, "&amp;Tabela2[[#This Row],[Item]]&amp;"|Send, ^{Right}|Send, MAT_KONFIG|Send, {Enter}"),"Sleep, "&amp;Tabela2[[#This Row],[Delay2]]&amp;"|Send, ^{Left}|Send, "&amp;Tabela2[[#This Row],[Item]]&amp;"|Send, ^{Right}|Send, ^{Right}|Send, ^{Right}|Send, "&amp;LEFT(TRIM(Tabela2[[#This Row],[Brand]]),38)&amp;"|Send, {Enter}")),"")</f>
        <v>Sleep, 2500|Send, ^{Left}|Send, 140|Send, ^{Right}|Send, MAT_KONFIG|Send, {Enter}</v>
      </c>
      <c r="P15" t="str">
        <f>IFERROR("Sleep, "&amp;Tabela2[[#This Row],[Delay2]]&amp;"|Send, U|Send, {Tab}|Send, {Tab}|Send, {Tab}|Send, {Tab}|Send, {Tab}|Send, {Tab}|Send, "&amp;TRIM(Tabela2[[#This Row],[Brand]])&amp;"|Send, {Tab}|Send, {Tab}|Send, {Tab}|Send, {Tab}|Send, {Tab}|Send, {Tab}|Send, {Tab}|Send, {Tab}|Send, {Tab}|Send, "&amp;SUBSTITUTE(Tabela2[[#This Row],[Qnt 1 (Reference)]],".",",")&amp;"|Send, {Tab}|Send, {Tab}|Send, "&amp;SUBSTITUTE(Tabela2[[#This Row],[Qnt 2 (Reference)]],".",",")&amp;"|Send, {F3}","")</f>
        <v>Sleep, 2500|Send, U|Send, {Tab}|Send, {Tab}|Send, {Tab}|Send, {Tab}|Send, {Tab}|Send, {Tab}|Send, SINDOFORM HF65-T1-EU|Send, {Tab}|Send, {Tab}|Send, {Tab}|Send, {Tab}|Send, {Tab}|Send, {Tab}|Send, {Tab}|Send, {Tab}|Send, {Tab}|Send, 28|Send, {Tab}|Send, {Tab}|Send, 31|Send, {F3}</v>
      </c>
      <c r="Q15" t="str">
        <f ca="1">IFERROR("Sleep, "&amp;Tabela2[[#This Row],[Delay2]]&amp;"|Send, {Down}|Send, "&amp;SUBSTITUTE(SUBSTITUTE(Tabela2[[#This Row],[Shape]],"+","{+}")," ","")&amp;"|Send, {Tab}|Send, {Tab}|Send, {Tab}|Send, {Tab}|Send, "&amp;Tabela2[[#This Row],[Brand (Reference)]]&amp;"|Send, {Tab}|Send, {Tab}|Send, {Tab}|"&amp;IF(Tabela2[[#This Row],[Brand Type]]="Normal","","Send, "&amp;Tabela2[[#This Row],[Add-On]]&amp;"|")&amp;"Send, {Tab}|Send, {Tab}|Send, {Tab}|Send, {Tab}|Send, {Tab}|Send, {Tab}|Send, "&amp;SUBSTITUTE(Tabela2[[#This Row],[Qnt 1 (Reference)]],".",",")&amp;"|Send, {Tab}|Send, {Tab}|Send, "&amp;SUBSTITUTE(Tabela2[[#This Row],[Qnt 2 (Reference)]],".",",")&amp;"|Send, {F3}","")</f>
        <v>Sleep, 2500|Send, {Down}|Send, 100/80|Send, {Tab}|Send, {Tab}|Send, {Tab}|Send, {Tab}|Send, SINDOFORM HF65-T1-EU|Send, {Tab}|Send, {Tab}|Send, {Tab}|Send, {Tab}|Send, {Tab}|Send, {Tab}|Send, {Tab}|Send, {Tab}|Send, {Tab}|Send, 28|Send, {Tab}|Send, {Tab}|Send, 31|Send, {F3}</v>
      </c>
      <c r="R15" t="str">
        <f ca="1">IFERROR(IF(Tabela2[[#This Row],[Item (Reference)]]="","",IF(Tabela2[[#This Row],[Shape]]="-",Tabela2[[#This Row],[Reference2]],Tabela2[[#This Row],[Reference3]])),"")</f>
        <v>Sleep, 2500|Send, {Down}|Send, 100/80|Send, {Tab}|Send, {Tab}|Send, {Tab}|Send, {Tab}|Send, SINDOFORM HF65-T1-EU|Send, {Tab}|Send, {Tab}|Send, {Tab}|Send, {Tab}|Send, {Tab}|Send, {Tab}|Send, {Tab}|Send, {Tab}|Send, {Tab}|Send, 28|Send, {Tab}|Send, {Tab}|Send, 31|Send, {F3}</v>
      </c>
      <c r="S15" t="str">
        <f ca="1">IFERROR(IF(Tabela2[[#This Row],[State]]="Automatico",Tabela2[[#This Row],[Reference1]]&amp;"|"&amp;Tabela2[[#This Row],[Reference4]],""),"")</f>
        <v>Sleep, 2500|Send, ^{Left}|Send, 140|Send, ^{Right}|Send, MAT_KONFIG|Send, {Enter}|Sleep, 2500|Send, {Down}|Send, 100/80|Send, {Tab}|Send, {Tab}|Send, {Tab}|Send, {Tab}|Send, SINDOFORM HF65-T1-EU|Send, {Tab}|Send, {Tab}|Send, {Tab}|Send, {Tab}|Send, {Tab}|Send, {Tab}|Send, {Tab}|Send, {Tab}|Send, {Tab}|Send, 28|Send, {Tab}|Send, {Tab}|Send, 31|Send, {F3}</v>
      </c>
    </row>
    <row r="16" spans="1:19">
      <c r="A16" cm="1">
        <f t="array" ref="A16">IFERROR(IF(Tabela2[[#This Row],[State]]="Automatico",IF(Tabela2[[#This Row],[Shape]]="","",(ROW()-1)*10),INDEX(Tabela2[[#All],[Item (Reference)]],ROW()-1)),"")</f>
        <v>150</v>
      </c>
      <c r="B16" s="633">
        <f t="shared" si="1"/>
        <v>150</v>
      </c>
      <c r="C16" s="633" t="str">
        <f>IFERROR(IF(Tabela2[[#This Row],[Shape]]="","Automatico",IF(_xlfn.XLOOKUP(Tabela2[[#This Row],[Brand]],BRANDS[Brand],BRANDS[State])="Manual","Manual",IF(Tabela2[[#This Row],[Shape]]="-","Automatico",IF(_xlfn.XLOOKUP(Tabela2[[#This Row],[Shape]],SHAPES[Shape],SHAPES[State])="Manual","Manual","Automatico")))),"")</f>
        <v>Automatico</v>
      </c>
      <c r="D16" s="633" t="str">
        <f>IFERROR(IF(Tabela2[[#This Row],[Shape]]="","Normal",IF(_xlfn.XLOOKUP(Tabela2[[#This Row],[Brand]],BRANDS[Brand],BRANDS[Brand Type])="","Normal",_xlfn.XLOOKUP(Tabela2[[#This Row],[Brand]],BRANDS[Brand],BRANDS[Brand Type]))),"")</f>
        <v>Normal</v>
      </c>
      <c r="E16" s="633" t="s">
        <v>2291</v>
      </c>
      <c r="F16" s="635" t="s">
        <v>227</v>
      </c>
      <c r="G16" s="633">
        <v>22</v>
      </c>
      <c r="H16" s="636">
        <v>25</v>
      </c>
      <c r="I16">
        <f>IFERROR(IF(Tabela2[[#This Row],[Shape]]="","",IF(Tabela2[[#This Row],[Shape]]="-",Tabela2[[#This Row],[Qnt 1]]/1000,Tabela2[[#This Row],[Qnt 1]])),"")</f>
        <v>22</v>
      </c>
      <c r="J16">
        <f>IFERROR(IF(Tabela2[[#This Row],[Shape]]="","",IF(Tabela2[[#This Row],[Shape]]="-",Tabela2[[#This Row],[Qnt 2]]/1000,Tabela2[[#This Row],[Qnt 2]])),"")</f>
        <v>25</v>
      </c>
      <c r="K16" t="str" cm="1">
        <f t="array" aca="1" ref="K16" ca="1">IFERROR(IF(Tabela2[[#This Row],[Brand Type]]="Normal",Tabela2[[#This Row],[Brand]],_xlfn.CONCAT(MID(RIGHT(_xlfn.CONCAT(MID(Tabela2[[#This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 +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Row],[Brand]]))),1)),1)))-ROW(INDIRECT("1:" &amp;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f>
        <v>SINDOFORM HF65Z-T2-EU</v>
      </c>
      <c r="L16" t="str" cm="1">
        <f t="array" aca="1" ref="L16" ca="1">IFERROR(IF(Tabela2[[#This Row],[Brand Type]]="Normal","",_xlfn.CONCAT(MID(LEFT(_xlfn.CONCAT(MID(Tabela2[[#This Row],[Brand]],1 + LEN(Tabela2[[#This Row],[Brand]])-ROW(INDIRECT("1:" &amp; LEN(Tabela2[[#This Row],[Brand]]))),1)),SEARCH(" ",_xlfn.CONCAT(MID(Tabela2[[#This Row],[Brand]],1 + LEN(Tabela2[[#This Row],[Brand]])-ROW(INDIRECT("1:" &amp; LEN(Tabela2[[#This Row],[Brand]]))),1)),1)-1),1 + LEN(LEFT(_xlfn.CONCAT(MID(Tabela2[[#This Row],[Brand]],1 + LEN(Tabela2[[#This Row],[Brand]])-ROW(INDIRECT("1:" &amp; LEN(Tabela2[[#This Row],[Brand]]))),1)),SEARCH(" ",_xlfn.CONCAT(MID(Tabela2[[#This Row],[Brand]],1 + LEN(Tabela2[[#This Row],[Brand]])-ROW(INDIRECT("1:" &amp; LEN(Tabela2[[#This Row],[Brand]]))),1)),1)-1))-ROW(INDIRECT("1:" &amp; LEN(LEFT(_xlfn.CONCAT(MID(Tabela2[[#This Row],[Brand]],1 + LEN(Tabela2[[#This Row],[Brand]])-ROW(INDIRECT("1:" &amp; LEN(Tabela2[[#This Row],[Brand]]))),1)),SEARCH(" ",_xlfn.CONCAT(MID(Tabela2[[#This Row],[Brand]],1 + LEN(Tabela2[[#This Row],[Brand]])-ROW(INDIRECT("1:" &amp; LEN(Tabela2[[#This Row],[Brand]]))),1)),1)-1)))),1))),"")</f>
        <v/>
      </c>
      <c r="M16">
        <f>IFERROR(IF(SAP_FINAL!$C$11="Office",2000,IF(SAP_FINAL!$C$11="VPN",3500,5000)),"")</f>
        <v>2000</v>
      </c>
      <c r="N16">
        <f>IFERROR(IF(SAP_FINAL!$C$11="Office",2500,IF(SAP_FINAL!$C$11="VPN",4000,5000)),"")</f>
        <v>2500</v>
      </c>
      <c r="O16" t="str" cm="1">
        <f t="array" ref="O16">IFERROR(IF(ROW(Tabela2[[#This Row],[Brand]])=2,"Send, "&amp;Tabela2[[#This Row],[Item]]&amp;"|Send, ^{Right}|Send, ^{Right}|Send, ^{Right}|Send, " &amp;LEFT(TRIM(Tabela2[[#This Row],[Brand]]),38)&amp;"|Send, {Enter}",IF(Tabela2[[#This Row],[Item (Reference)]]&lt;&gt;"",IF(INDEX(Tabela2[[#All],[Item (Reference)]],ROW()-1)="",IF(Tabela2[[#This Row],[Shape]]="","Sleep, "&amp;Tabela2[[#This Row],[Delay2]]&amp;"|Send, ^{Left}|Send, "&amp;Tabela2[[#This Row],[Item]]&amp;"|Send, ^{Right}|Send, ^{Right}|Send, ^{Right}|Send, "&amp;LEFT(TRIM(Tabela2[[#This Row],[Brand]]),38)&amp;"|Send, {Enter}","Sleep, "&amp;Tabela2[[#This Row],[Delay1]]&amp;"|Send, ^{Left}|Send, "&amp;Tabela2[[#This Row],[Item]]&amp;"|Send, ^{Right}|Send, MAT_KONFIG|Send, {Enter}"),"Sleep, "&amp;Tabela2[[#This Row],[Delay2]]&amp;"|Send, ^{Left}|Send, "&amp;Tabela2[[#This Row],[Item]]&amp;"|Send, ^{Right}|Send, MAT_KONFIG|Send, {Enter}"),"Sleep, "&amp;Tabela2[[#This Row],[Delay2]]&amp;"|Send, ^{Left}|Send, "&amp;Tabela2[[#This Row],[Item]]&amp;"|Send, ^{Right}|Send, ^{Right}|Send, ^{Right}|Send, "&amp;LEFT(TRIM(Tabela2[[#This Row],[Brand]]),38)&amp;"|Send, {Enter}")),"")</f>
        <v>Sleep, 2500|Send, ^{Left}|Send, 150|Send, ^{Right}|Send, MAT_KONFIG|Send, {Enter}</v>
      </c>
      <c r="P16" t="str">
        <f>IFERROR("Sleep, "&amp;Tabela2[[#This Row],[Delay2]]&amp;"|Send, U|Send, {Tab}|Send, {Tab}|Send, {Tab}|Send, {Tab}|Send, {Tab}|Send, {Tab}|Send, "&amp;TRIM(Tabela2[[#This Row],[Brand]])&amp;"|Send, {Tab}|Send, {Tab}|Send, {Tab}|Send, {Tab}|Send, {Tab}|Send, {Tab}|Send, {Tab}|Send, {Tab}|Send, {Tab}|Send, "&amp;SUBSTITUTE(Tabela2[[#This Row],[Qnt 1 (Reference)]],".",",")&amp;"|Send, {Tab}|Send, {Tab}|Send, "&amp;SUBSTITUTE(Tabela2[[#This Row],[Qnt 2 (Reference)]],".",",")&amp;"|Send, {F3}","")</f>
        <v>Sleep, 2500|Send, U|Send, {Tab}|Send, {Tab}|Send, {Tab}|Send, {Tab}|Send, {Tab}|Send, {Tab}|Send, SINDOFORM HF65Z-T2-EU|Send, {Tab}|Send, {Tab}|Send, {Tab}|Send, {Tab}|Send, {Tab}|Send, {Tab}|Send, {Tab}|Send, {Tab}|Send, {Tab}|Send, 22|Send, {Tab}|Send, {Tab}|Send, 25|Send, {F3}</v>
      </c>
      <c r="Q16" t="str">
        <f ca="1">IFERROR("Sleep, "&amp;Tabela2[[#This Row],[Delay2]]&amp;"|Send, {Down}|Send, "&amp;SUBSTITUTE(SUBSTITUTE(Tabela2[[#This Row],[Shape]],"+","{+}")," ","")&amp;"|Send, {Tab}|Send, {Tab}|Send, {Tab}|Send, {Tab}|Send, "&amp;Tabela2[[#This Row],[Brand (Reference)]]&amp;"|Send, {Tab}|Send, {Tab}|Send, {Tab}|"&amp;IF(Tabela2[[#This Row],[Brand Type]]="Normal","","Send, "&amp;Tabela2[[#This Row],[Add-On]]&amp;"|")&amp;"Send, {Tab}|Send, {Tab}|Send, {Tab}|Send, {Tab}|Send, {Tab}|Send, {Tab}|Send, "&amp;SUBSTITUTE(Tabela2[[#This Row],[Qnt 1 (Reference)]],".",",")&amp;"|Send, {Tab}|Send, {Tab}|Send, "&amp;SUBSTITUTE(Tabela2[[#This Row],[Qnt 2 (Reference)]],".",",")&amp;"|Send, {F3}","")</f>
        <v>Sleep, 2500|Send, {Down}|Send, 80/60|Send, {Tab}|Send, {Tab}|Send, {Tab}|Send, {Tab}|Send, SINDOFORM HF65Z-T2-EU|Send, {Tab}|Send, {Tab}|Send, {Tab}|Send, {Tab}|Send, {Tab}|Send, {Tab}|Send, {Tab}|Send, {Tab}|Send, {Tab}|Send, 22|Send, {Tab}|Send, {Tab}|Send, 25|Send, {F3}</v>
      </c>
      <c r="R16" t="str">
        <f ca="1">IFERROR(IF(Tabela2[[#This Row],[Item (Reference)]]="","",IF(Tabela2[[#This Row],[Shape]]="-",Tabela2[[#This Row],[Reference2]],Tabela2[[#This Row],[Reference3]])),"")</f>
        <v>Sleep, 2500|Send, {Down}|Send, 80/60|Send, {Tab}|Send, {Tab}|Send, {Tab}|Send, {Tab}|Send, SINDOFORM HF65Z-T2-EU|Send, {Tab}|Send, {Tab}|Send, {Tab}|Send, {Tab}|Send, {Tab}|Send, {Tab}|Send, {Tab}|Send, {Tab}|Send, {Tab}|Send, 22|Send, {Tab}|Send, {Tab}|Send, 25|Send, {F3}</v>
      </c>
      <c r="S16" t="str">
        <f ca="1">IFERROR(IF(Tabela2[[#This Row],[State]]="Automatico",Tabela2[[#This Row],[Reference1]]&amp;"|"&amp;Tabela2[[#This Row],[Reference4]],""),"")</f>
        <v>Sleep, 2500|Send, ^{Left}|Send, 150|Send, ^{Right}|Send, MAT_KONFIG|Send, {Enter}|Sleep, 2500|Send, {Down}|Send, 80/60|Send, {Tab}|Send, {Tab}|Send, {Tab}|Send, {Tab}|Send, SINDOFORM HF65Z-T2-EU|Send, {Tab}|Send, {Tab}|Send, {Tab}|Send, {Tab}|Send, {Tab}|Send, {Tab}|Send, {Tab}|Send, {Tab}|Send, {Tab}|Send, 22|Send, {Tab}|Send, {Tab}|Send, 25|Send, {F3}</v>
      </c>
    </row>
    <row r="17" spans="1:19">
      <c r="A17" cm="1">
        <f t="array" ref="A17">IFERROR(IF(Tabela2[[#This Row],[State]]="Automatico",IF(Tabela2[[#This Row],[Shape]]="","",(ROW()-1)*10),INDEX(Tabela2[[#All],[Item (Reference)]],ROW()-1)),"")</f>
        <v>160</v>
      </c>
      <c r="B17" s="633">
        <f t="shared" si="1"/>
        <v>160</v>
      </c>
      <c r="C17" s="633" t="str">
        <f>IFERROR(IF(Tabela2[[#This Row],[Shape]]="","Automatico",IF(_xlfn.XLOOKUP(Tabela2[[#This Row],[Brand]],BRANDS[Brand],BRANDS[State])="Manual","Manual",IF(Tabela2[[#This Row],[Shape]]="-","Automatico",IF(_xlfn.XLOOKUP(Tabela2[[#This Row],[Shape]],SHAPES[Shape],SHAPES[State])="Manual","Manual","Automatico")))),"")</f>
        <v>Automatico</v>
      </c>
      <c r="D17" s="633" t="str">
        <f>IFERROR(IF(Tabela2[[#This Row],[Shape]]="","Normal",IF(_xlfn.XLOOKUP(Tabela2[[#This Row],[Brand]],BRANDS[Brand],BRANDS[Brand Type])="","Normal",_xlfn.XLOOKUP(Tabela2[[#This Row],[Brand]],BRANDS[Brand],BRANDS[Brand Type]))),"")</f>
        <v>Normal</v>
      </c>
      <c r="E17" s="633" t="s">
        <v>2291</v>
      </c>
      <c r="F17" s="635" t="s">
        <v>228</v>
      </c>
      <c r="G17" s="633">
        <v>41</v>
      </c>
      <c r="H17" s="636">
        <v>46</v>
      </c>
      <c r="I17">
        <f>IFERROR(IF(Tabela2[[#This Row],[Shape]]="","",IF(Tabela2[[#This Row],[Shape]]="-",Tabela2[[#This Row],[Qnt 1]]/1000,Tabela2[[#This Row],[Qnt 1]])),"")</f>
        <v>41</v>
      </c>
      <c r="J17">
        <f>IFERROR(IF(Tabela2[[#This Row],[Shape]]="","",IF(Tabela2[[#This Row],[Shape]]="-",Tabela2[[#This Row],[Qnt 2]]/1000,Tabela2[[#This Row],[Qnt 2]])),"")</f>
        <v>46</v>
      </c>
      <c r="K17" t="str" cm="1">
        <f t="array" aca="1" ref="K17" ca="1">IFERROR(IF(Tabela2[[#This Row],[Brand Type]]="Normal",Tabela2[[#This Row],[Brand]],_xlfn.CONCAT(MID(RIGHT(_xlfn.CONCAT(MID(Tabela2[[#This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 +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Row],[Brand]]))),1)),1)))-ROW(INDIRECT("1:" &amp;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f>
        <v>SINDOFORM HF65Z-T2-EU</v>
      </c>
      <c r="L17" t="str" cm="1">
        <f t="array" aca="1" ref="L17" ca="1">IFERROR(IF(Tabela2[[#This Row],[Brand Type]]="Normal","",_xlfn.CONCAT(MID(LEFT(_xlfn.CONCAT(MID(Tabela2[[#This Row],[Brand]],1 + LEN(Tabela2[[#This Row],[Brand]])-ROW(INDIRECT("1:" &amp; LEN(Tabela2[[#This Row],[Brand]]))),1)),SEARCH(" ",_xlfn.CONCAT(MID(Tabela2[[#This Row],[Brand]],1 + LEN(Tabela2[[#This Row],[Brand]])-ROW(INDIRECT("1:" &amp; LEN(Tabela2[[#This Row],[Brand]]))),1)),1)-1),1 + LEN(LEFT(_xlfn.CONCAT(MID(Tabela2[[#This Row],[Brand]],1 + LEN(Tabela2[[#This Row],[Brand]])-ROW(INDIRECT("1:" &amp; LEN(Tabela2[[#This Row],[Brand]]))),1)),SEARCH(" ",_xlfn.CONCAT(MID(Tabela2[[#This Row],[Brand]],1 + LEN(Tabela2[[#This Row],[Brand]])-ROW(INDIRECT("1:" &amp; LEN(Tabela2[[#This Row],[Brand]]))),1)),1)-1))-ROW(INDIRECT("1:" &amp; LEN(LEFT(_xlfn.CONCAT(MID(Tabela2[[#This Row],[Brand]],1 + LEN(Tabela2[[#This Row],[Brand]])-ROW(INDIRECT("1:" &amp; LEN(Tabela2[[#This Row],[Brand]]))),1)),SEARCH(" ",_xlfn.CONCAT(MID(Tabela2[[#This Row],[Brand]],1 + LEN(Tabela2[[#This Row],[Brand]])-ROW(INDIRECT("1:" &amp; LEN(Tabela2[[#This Row],[Brand]]))),1)),1)-1)))),1))),"")</f>
        <v/>
      </c>
      <c r="M17">
        <f>IFERROR(IF(SAP_FINAL!$C$11="Office",2000,IF(SAP_FINAL!$C$11="VPN",3500,5000)),"")</f>
        <v>2000</v>
      </c>
      <c r="N17">
        <f>IFERROR(IF(SAP_FINAL!$C$11="Office",2500,IF(SAP_FINAL!$C$11="VPN",4000,5000)),"")</f>
        <v>2500</v>
      </c>
      <c r="O17" t="str" cm="1">
        <f t="array" ref="O17">IFERROR(IF(ROW(Tabela2[[#This Row],[Brand]])=2,"Send, "&amp;Tabela2[[#This Row],[Item]]&amp;"|Send, ^{Right}|Send, ^{Right}|Send, ^{Right}|Send, " &amp;LEFT(TRIM(Tabela2[[#This Row],[Brand]]),38)&amp;"|Send, {Enter}",IF(Tabela2[[#This Row],[Item (Reference)]]&lt;&gt;"",IF(INDEX(Tabela2[[#All],[Item (Reference)]],ROW()-1)="",IF(Tabela2[[#This Row],[Shape]]="","Sleep, "&amp;Tabela2[[#This Row],[Delay2]]&amp;"|Send, ^{Left}|Send, "&amp;Tabela2[[#This Row],[Item]]&amp;"|Send, ^{Right}|Send, ^{Right}|Send, ^{Right}|Send, "&amp;LEFT(TRIM(Tabela2[[#This Row],[Brand]]),38)&amp;"|Send, {Enter}","Sleep, "&amp;Tabela2[[#This Row],[Delay1]]&amp;"|Send, ^{Left}|Send, "&amp;Tabela2[[#This Row],[Item]]&amp;"|Send, ^{Right}|Send, MAT_KONFIG|Send, {Enter}"),"Sleep, "&amp;Tabela2[[#This Row],[Delay2]]&amp;"|Send, ^{Left}|Send, "&amp;Tabela2[[#This Row],[Item]]&amp;"|Send, ^{Right}|Send, MAT_KONFIG|Send, {Enter}"),"Sleep, "&amp;Tabela2[[#This Row],[Delay2]]&amp;"|Send, ^{Left}|Send, "&amp;Tabela2[[#This Row],[Item]]&amp;"|Send, ^{Right}|Send, ^{Right}|Send, ^{Right}|Send, "&amp;LEFT(TRIM(Tabela2[[#This Row],[Brand]]),38)&amp;"|Send, {Enter}")),"")</f>
        <v>Sleep, 2500|Send, ^{Left}|Send, 160|Send, ^{Right}|Send, MAT_KONFIG|Send, {Enter}</v>
      </c>
      <c r="P17" t="str">
        <f>IFERROR("Sleep, "&amp;Tabela2[[#This Row],[Delay2]]&amp;"|Send, U|Send, {Tab}|Send, {Tab}|Send, {Tab}|Send, {Tab}|Send, {Tab}|Send, {Tab}|Send, "&amp;TRIM(Tabela2[[#This Row],[Brand]])&amp;"|Send, {Tab}|Send, {Tab}|Send, {Tab}|Send, {Tab}|Send, {Tab}|Send, {Tab}|Send, {Tab}|Send, {Tab}|Send, {Tab}|Send, "&amp;SUBSTITUTE(Tabela2[[#This Row],[Qnt 1 (Reference)]],".",",")&amp;"|Send, {Tab}|Send, {Tab}|Send, "&amp;SUBSTITUTE(Tabela2[[#This Row],[Qnt 2 (Reference)]],".",",")&amp;"|Send, {F3}","")</f>
        <v>Sleep, 2500|Send, U|Send, {Tab}|Send, {Tab}|Send, {Tab}|Send, {Tab}|Send, {Tab}|Send, {Tab}|Send, SINDOFORM HF65Z-T2-EU|Send, {Tab}|Send, {Tab}|Send, {Tab}|Send, {Tab}|Send, {Tab}|Send, {Tab}|Send, {Tab}|Send, {Tab}|Send, {Tab}|Send, 41|Send, {Tab}|Send, {Tab}|Send, 46|Send, {F3}</v>
      </c>
      <c r="Q17" t="str">
        <f ca="1">IFERROR("Sleep, "&amp;Tabela2[[#This Row],[Delay2]]&amp;"|Send, {Down}|Send, "&amp;SUBSTITUTE(SUBSTITUTE(Tabela2[[#This Row],[Shape]],"+","{+}")," ","")&amp;"|Send, {Tab}|Send, {Tab}|Send, {Tab}|Send, {Tab}|Send, "&amp;Tabela2[[#This Row],[Brand (Reference)]]&amp;"|Send, {Tab}|Send, {Tab}|Send, {Tab}|"&amp;IF(Tabela2[[#This Row],[Brand Type]]="Normal","","Send, "&amp;Tabela2[[#This Row],[Add-On]]&amp;"|")&amp;"Send, {Tab}|Send, {Tab}|Send, {Tab}|Send, {Tab}|Send, {Tab}|Send, {Tab}|Send, "&amp;SUBSTITUTE(Tabela2[[#This Row],[Qnt 1 (Reference)]],".",",")&amp;"|Send, {Tab}|Send, {Tab}|Send, "&amp;SUBSTITUTE(Tabela2[[#This Row],[Qnt 2 (Reference)]],".",",")&amp;"|Send, {F3}","")</f>
        <v>Sleep, 2500|Send, {Down}|Send, 80/80|Send, {Tab}|Send, {Tab}|Send, {Tab}|Send, {Tab}|Send, SINDOFORM HF65Z-T2-EU|Send, {Tab}|Send, {Tab}|Send, {Tab}|Send, {Tab}|Send, {Tab}|Send, {Tab}|Send, {Tab}|Send, {Tab}|Send, {Tab}|Send, 41|Send, {Tab}|Send, {Tab}|Send, 46|Send, {F3}</v>
      </c>
      <c r="R17" t="str">
        <f ca="1">IFERROR(IF(Tabela2[[#This Row],[Item (Reference)]]="","",IF(Tabela2[[#This Row],[Shape]]="-",Tabela2[[#This Row],[Reference2]],Tabela2[[#This Row],[Reference3]])),"")</f>
        <v>Sleep, 2500|Send, {Down}|Send, 80/80|Send, {Tab}|Send, {Tab}|Send, {Tab}|Send, {Tab}|Send, SINDOFORM HF65Z-T2-EU|Send, {Tab}|Send, {Tab}|Send, {Tab}|Send, {Tab}|Send, {Tab}|Send, {Tab}|Send, {Tab}|Send, {Tab}|Send, {Tab}|Send, 41|Send, {Tab}|Send, {Tab}|Send, 46|Send, {F3}</v>
      </c>
      <c r="S17" t="str">
        <f ca="1">IFERROR(IF(Tabela2[[#This Row],[State]]="Automatico",Tabela2[[#This Row],[Reference1]]&amp;"|"&amp;Tabela2[[#This Row],[Reference4]],""),"")</f>
        <v>Sleep, 2500|Send, ^{Left}|Send, 160|Send, ^{Right}|Send, MAT_KONFIG|Send, {Enter}|Sleep, 2500|Send, {Down}|Send, 80/80|Send, {Tab}|Send, {Tab}|Send, {Tab}|Send, {Tab}|Send, SINDOFORM HF65Z-T2-EU|Send, {Tab}|Send, {Tab}|Send, {Tab}|Send, {Tab}|Send, {Tab}|Send, {Tab}|Send, {Tab}|Send, {Tab}|Send, {Tab}|Send, 41|Send, {Tab}|Send, {Tab}|Send, 46|Send, {F3}</v>
      </c>
    </row>
    <row r="18" spans="1:19">
      <c r="A18" cm="1">
        <f t="array" ref="A18">IFERROR(IF(Tabela2[[#This Row],[State]]="Automatico",IF(Tabela2[[#This Row],[Shape]]="","",(ROW()-1)*10),INDEX(Tabela2[[#All],[Item (Reference)]],ROW()-1)),"")</f>
        <v>170</v>
      </c>
      <c r="B18" s="633">
        <f t="shared" si="1"/>
        <v>170</v>
      </c>
      <c r="C18" s="633" t="str">
        <f>IFERROR(IF(Tabela2[[#This Row],[Shape]]="","Automatico",IF(_xlfn.XLOOKUP(Tabela2[[#This Row],[Brand]],BRANDS[Brand],BRANDS[State])="Manual","Manual",IF(Tabela2[[#This Row],[Shape]]="-","Automatico",IF(_xlfn.XLOOKUP(Tabela2[[#This Row],[Shape]],SHAPES[Shape],SHAPES[State])="Manual","Manual","Automatico")))),"")</f>
        <v>Automatico</v>
      </c>
      <c r="D18" s="633" t="str">
        <f>IFERROR(IF(Tabela2[[#This Row],[Shape]]="","Normal",IF(_xlfn.XLOOKUP(Tabela2[[#This Row],[Brand]],BRANDS[Brand],BRANDS[Brand Type])="","Normal",_xlfn.XLOOKUP(Tabela2[[#This Row],[Brand]],BRANDS[Brand],BRANDS[Brand Type]))),"")</f>
        <v>Normal</v>
      </c>
      <c r="E18" s="633" t="s">
        <v>2291</v>
      </c>
      <c r="F18" s="635" t="s">
        <v>234</v>
      </c>
      <c r="G18" s="633">
        <v>21</v>
      </c>
      <c r="H18" s="636">
        <v>24</v>
      </c>
      <c r="I18">
        <f>IFERROR(IF(Tabela2[[#This Row],[Shape]]="","",IF(Tabela2[[#This Row],[Shape]]="-",Tabela2[[#This Row],[Qnt 1]]/1000,Tabela2[[#This Row],[Qnt 1]])),"")</f>
        <v>21</v>
      </c>
      <c r="J18">
        <f>IFERROR(IF(Tabela2[[#This Row],[Shape]]="","",IF(Tabela2[[#This Row],[Shape]]="-",Tabela2[[#This Row],[Qnt 2]]/1000,Tabela2[[#This Row],[Qnt 2]])),"")</f>
        <v>24</v>
      </c>
      <c r="K18" t="str" cm="1">
        <f t="array" aca="1" ref="K18" ca="1">IFERROR(IF(Tabela2[[#This Row],[Brand Type]]="Normal",Tabela2[[#This Row],[Brand]],_xlfn.CONCAT(MID(RIGHT(_xlfn.CONCAT(MID(Tabela2[[#This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 +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Row],[Brand]]))),1)),1)))-ROW(INDIRECT("1:" &amp;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f>
        <v>SINDOFORM HF65Z-T2-EU</v>
      </c>
      <c r="L18" t="str" cm="1">
        <f t="array" aca="1" ref="L18" ca="1">IFERROR(IF(Tabela2[[#This Row],[Brand Type]]="Normal","",_xlfn.CONCAT(MID(LEFT(_xlfn.CONCAT(MID(Tabela2[[#This Row],[Brand]],1 + LEN(Tabela2[[#This Row],[Brand]])-ROW(INDIRECT("1:" &amp; LEN(Tabela2[[#This Row],[Brand]]))),1)),SEARCH(" ",_xlfn.CONCAT(MID(Tabela2[[#This Row],[Brand]],1 + LEN(Tabela2[[#This Row],[Brand]])-ROW(INDIRECT("1:" &amp; LEN(Tabela2[[#This Row],[Brand]]))),1)),1)-1),1 + LEN(LEFT(_xlfn.CONCAT(MID(Tabela2[[#This Row],[Brand]],1 + LEN(Tabela2[[#This Row],[Brand]])-ROW(INDIRECT("1:" &amp; LEN(Tabela2[[#This Row],[Brand]]))),1)),SEARCH(" ",_xlfn.CONCAT(MID(Tabela2[[#This Row],[Brand]],1 + LEN(Tabela2[[#This Row],[Brand]])-ROW(INDIRECT("1:" &amp; LEN(Tabela2[[#This Row],[Brand]]))),1)),1)-1))-ROW(INDIRECT("1:" &amp; LEN(LEFT(_xlfn.CONCAT(MID(Tabela2[[#This Row],[Brand]],1 + LEN(Tabela2[[#This Row],[Brand]])-ROW(INDIRECT("1:" &amp; LEN(Tabela2[[#This Row],[Brand]]))),1)),SEARCH(" ",_xlfn.CONCAT(MID(Tabela2[[#This Row],[Brand]],1 + LEN(Tabela2[[#This Row],[Brand]])-ROW(INDIRECT("1:" &amp; LEN(Tabela2[[#This Row],[Brand]]))),1)),1)-1)))),1))),"")</f>
        <v/>
      </c>
      <c r="M18">
        <f>IFERROR(IF(SAP_FINAL!$C$11="Office",2000,IF(SAP_FINAL!$C$11="VPN",3500,5000)),"")</f>
        <v>2000</v>
      </c>
      <c r="N18">
        <f>IFERROR(IF(SAP_FINAL!$C$11="Office",2500,IF(SAP_FINAL!$C$11="VPN",4000,5000)),"")</f>
        <v>2500</v>
      </c>
      <c r="O18" t="str" cm="1">
        <f t="array" ref="O18">IFERROR(IF(ROW(Tabela2[[#This Row],[Brand]])=2,"Send, "&amp;Tabela2[[#This Row],[Item]]&amp;"|Send, ^{Right}|Send, ^{Right}|Send, ^{Right}|Send, " &amp;LEFT(TRIM(Tabela2[[#This Row],[Brand]]),38)&amp;"|Send, {Enter}",IF(Tabela2[[#This Row],[Item (Reference)]]&lt;&gt;"",IF(INDEX(Tabela2[[#All],[Item (Reference)]],ROW()-1)="",IF(Tabela2[[#This Row],[Shape]]="","Sleep, "&amp;Tabela2[[#This Row],[Delay2]]&amp;"|Send, ^{Left}|Send, "&amp;Tabela2[[#This Row],[Item]]&amp;"|Send, ^{Right}|Send, ^{Right}|Send, ^{Right}|Send, "&amp;LEFT(TRIM(Tabela2[[#This Row],[Brand]]),38)&amp;"|Send, {Enter}","Sleep, "&amp;Tabela2[[#This Row],[Delay1]]&amp;"|Send, ^{Left}|Send, "&amp;Tabela2[[#This Row],[Item]]&amp;"|Send, ^{Right}|Send, MAT_KONFIG|Send, {Enter}"),"Sleep, "&amp;Tabela2[[#This Row],[Delay2]]&amp;"|Send, ^{Left}|Send, "&amp;Tabela2[[#This Row],[Item]]&amp;"|Send, ^{Right}|Send, MAT_KONFIG|Send, {Enter}"),"Sleep, "&amp;Tabela2[[#This Row],[Delay2]]&amp;"|Send, ^{Left}|Send, "&amp;Tabela2[[#This Row],[Item]]&amp;"|Send, ^{Right}|Send, ^{Right}|Send, ^{Right}|Send, "&amp;LEFT(TRIM(Tabela2[[#This Row],[Brand]]),38)&amp;"|Send, {Enter}")),"")</f>
        <v>Sleep, 2500|Send, ^{Left}|Send, 170|Send, ^{Right}|Send, MAT_KONFIG|Send, {Enter}</v>
      </c>
      <c r="P18" t="str">
        <f>IFERROR("Sleep, "&amp;Tabela2[[#This Row],[Delay2]]&amp;"|Send, U|Send, {Tab}|Send, {Tab}|Send, {Tab}|Send, {Tab}|Send, {Tab}|Send, {Tab}|Send, "&amp;TRIM(Tabela2[[#This Row],[Brand]])&amp;"|Send, {Tab}|Send, {Tab}|Send, {Tab}|Send, {Tab}|Send, {Tab}|Send, {Tab}|Send, {Tab}|Send, {Tab}|Send, {Tab}|Send, "&amp;SUBSTITUTE(Tabela2[[#This Row],[Qnt 1 (Reference)]],".",",")&amp;"|Send, {Tab}|Send, {Tab}|Send, "&amp;SUBSTITUTE(Tabela2[[#This Row],[Qnt 2 (Reference)]],".",",")&amp;"|Send, {F3}","")</f>
        <v>Sleep, 2500|Send, U|Send, {Tab}|Send, {Tab}|Send, {Tab}|Send, {Tab}|Send, {Tab}|Send, {Tab}|Send, SINDOFORM HF65Z-T2-EU|Send, {Tab}|Send, {Tab}|Send, {Tab}|Send, {Tab}|Send, {Tab}|Send, {Tab}|Send, {Tab}|Send, {Tab}|Send, {Tab}|Send, 21|Send, {Tab}|Send, {Tab}|Send, 24|Send, {F3}</v>
      </c>
      <c r="Q18" t="str">
        <f ca="1">IFERROR("Sleep, "&amp;Tabela2[[#This Row],[Delay2]]&amp;"|Send, {Down}|Send, "&amp;SUBSTITUTE(SUBSTITUTE(Tabela2[[#This Row],[Shape]],"+","{+}")," ","")&amp;"|Send, {Tab}|Send, {Tab}|Send, {Tab}|Send, {Tab}|Send, "&amp;Tabela2[[#This Row],[Brand (Reference)]]&amp;"|Send, {Tab}|Send, {Tab}|Send, {Tab}|"&amp;IF(Tabela2[[#This Row],[Brand Type]]="Normal","","Send, "&amp;Tabela2[[#This Row],[Add-On]]&amp;"|")&amp;"Send, {Tab}|Send, {Tab}|Send, {Tab}|Send, {Tab}|Send, {Tab}|Send, {Tab}|Send, "&amp;SUBSTITUTE(Tabela2[[#This Row],[Qnt 1 (Reference)]],".",",")&amp;"|Send, {Tab}|Send, {Tab}|Send, "&amp;SUBSTITUTE(Tabela2[[#This Row],[Qnt 2 (Reference)]],".",",")&amp;"|Send, {F3}","")</f>
        <v>Sleep, 2500|Send, {Down}|Send, 85/60|Send, {Tab}|Send, {Tab}|Send, {Tab}|Send, {Tab}|Send, SINDOFORM HF65Z-T2-EU|Send, {Tab}|Send, {Tab}|Send, {Tab}|Send, {Tab}|Send, {Tab}|Send, {Tab}|Send, {Tab}|Send, {Tab}|Send, {Tab}|Send, 21|Send, {Tab}|Send, {Tab}|Send, 24|Send, {F3}</v>
      </c>
      <c r="R18" t="str">
        <f ca="1">IFERROR(IF(Tabela2[[#This Row],[Item (Reference)]]="","",IF(Tabela2[[#This Row],[Shape]]="-",Tabela2[[#This Row],[Reference2]],Tabela2[[#This Row],[Reference3]])),"")</f>
        <v>Sleep, 2500|Send, {Down}|Send, 85/60|Send, {Tab}|Send, {Tab}|Send, {Tab}|Send, {Tab}|Send, SINDOFORM HF65Z-T2-EU|Send, {Tab}|Send, {Tab}|Send, {Tab}|Send, {Tab}|Send, {Tab}|Send, {Tab}|Send, {Tab}|Send, {Tab}|Send, {Tab}|Send, 21|Send, {Tab}|Send, {Tab}|Send, 24|Send, {F3}</v>
      </c>
      <c r="S18" t="str">
        <f ca="1">IFERROR(IF(Tabela2[[#This Row],[State]]="Automatico",Tabela2[[#This Row],[Reference1]]&amp;"|"&amp;Tabela2[[#This Row],[Reference4]],""),"")</f>
        <v>Sleep, 2500|Send, ^{Left}|Send, 170|Send, ^{Right}|Send, MAT_KONFIG|Send, {Enter}|Sleep, 2500|Send, {Down}|Send, 85/60|Send, {Tab}|Send, {Tab}|Send, {Tab}|Send, {Tab}|Send, SINDOFORM HF65Z-T2-EU|Send, {Tab}|Send, {Tab}|Send, {Tab}|Send, {Tab}|Send, {Tab}|Send, {Tab}|Send, {Tab}|Send, {Tab}|Send, {Tab}|Send, 21|Send, {Tab}|Send, {Tab}|Send, 24|Send, {F3}</v>
      </c>
    </row>
    <row r="19" spans="1:19">
      <c r="A19" cm="1">
        <f t="array" ref="A19">IFERROR(IF(Tabela2[[#This Row],[State]]="Automatico",IF(Tabela2[[#This Row],[Shape]]="","",(ROW()-1)*10),INDEX(Tabela2[[#All],[Item (Reference)]],ROW()-1)),"")</f>
        <v>180</v>
      </c>
      <c r="B19" s="633">
        <f t="shared" si="1"/>
        <v>180</v>
      </c>
      <c r="C19" s="633" t="str">
        <f>IFERROR(IF(Tabela2[[#This Row],[Shape]]="","Automatico",IF(_xlfn.XLOOKUP(Tabela2[[#This Row],[Brand]],BRANDS[Brand],BRANDS[State])="Manual","Manual",IF(Tabela2[[#This Row],[Shape]]="-","Automatico",IF(_xlfn.XLOOKUP(Tabela2[[#This Row],[Shape]],SHAPES[Shape],SHAPES[State])="Manual","Manual","Automatico")))),"")</f>
        <v>Automatico</v>
      </c>
      <c r="D19" s="633" t="str">
        <f>IFERROR(IF(Tabela2[[#This Row],[Shape]]="","Normal",IF(_xlfn.XLOOKUP(Tabela2[[#This Row],[Brand]],BRANDS[Brand],BRANDS[Brand Type])="","Normal",_xlfn.XLOOKUP(Tabela2[[#This Row],[Brand]],BRANDS[Brand],BRANDS[Brand Type]))),"")</f>
        <v>Normal</v>
      </c>
      <c r="E19" s="633" t="s">
        <v>2291</v>
      </c>
      <c r="F19" s="635" t="s">
        <v>2292</v>
      </c>
      <c r="G19" s="633">
        <v>44</v>
      </c>
      <c r="H19" s="636">
        <v>49</v>
      </c>
      <c r="I19">
        <f>IFERROR(IF(Tabela2[[#This Row],[Shape]]="","",IF(Tabela2[[#This Row],[Shape]]="-",Tabela2[[#This Row],[Qnt 1]]/1000,Tabela2[[#This Row],[Qnt 1]])),"")</f>
        <v>44</v>
      </c>
      <c r="J19">
        <f>IFERROR(IF(Tabela2[[#This Row],[Shape]]="","",IF(Tabela2[[#This Row],[Shape]]="-",Tabela2[[#This Row],[Qnt 2]]/1000,Tabela2[[#This Row],[Qnt 2]])),"")</f>
        <v>49</v>
      </c>
      <c r="K19" t="str" cm="1">
        <f t="array" aca="1" ref="K19" ca="1">IFERROR(IF(Tabela2[[#This Row],[Brand Type]]="Normal",Tabela2[[#This Row],[Brand]],_xlfn.CONCAT(MID(RIGHT(_xlfn.CONCAT(MID(Tabela2[[#This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 +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Row],[Brand]]))),1)),1)))-ROW(INDIRECT("1:" &amp;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f>
        <v>SINDOFORM HF65Z-T2-EU</v>
      </c>
      <c r="L19" t="str" cm="1">
        <f t="array" aca="1" ref="L19" ca="1">IFERROR(IF(Tabela2[[#This Row],[Brand Type]]="Normal","",_xlfn.CONCAT(MID(LEFT(_xlfn.CONCAT(MID(Tabela2[[#This Row],[Brand]],1 + LEN(Tabela2[[#This Row],[Brand]])-ROW(INDIRECT("1:" &amp; LEN(Tabela2[[#This Row],[Brand]]))),1)),SEARCH(" ",_xlfn.CONCAT(MID(Tabela2[[#This Row],[Brand]],1 + LEN(Tabela2[[#This Row],[Brand]])-ROW(INDIRECT("1:" &amp; LEN(Tabela2[[#This Row],[Brand]]))),1)),1)-1),1 + LEN(LEFT(_xlfn.CONCAT(MID(Tabela2[[#This Row],[Brand]],1 + LEN(Tabela2[[#This Row],[Brand]])-ROW(INDIRECT("1:" &amp; LEN(Tabela2[[#This Row],[Brand]]))),1)),SEARCH(" ",_xlfn.CONCAT(MID(Tabela2[[#This Row],[Brand]],1 + LEN(Tabela2[[#This Row],[Brand]])-ROW(INDIRECT("1:" &amp; LEN(Tabela2[[#This Row],[Brand]]))),1)),1)-1))-ROW(INDIRECT("1:" &amp; LEN(LEFT(_xlfn.CONCAT(MID(Tabela2[[#This Row],[Brand]],1 + LEN(Tabela2[[#This Row],[Brand]])-ROW(INDIRECT("1:" &amp; LEN(Tabela2[[#This Row],[Brand]]))),1)),SEARCH(" ",_xlfn.CONCAT(MID(Tabela2[[#This Row],[Brand]],1 + LEN(Tabela2[[#This Row],[Brand]])-ROW(INDIRECT("1:" &amp; LEN(Tabela2[[#This Row],[Brand]]))),1)),1)-1)))),1))),"")</f>
        <v/>
      </c>
      <c r="M19">
        <f>IFERROR(IF(SAP_FINAL!$C$11="Office",2000,IF(SAP_FINAL!$C$11="VPN",3500,5000)),"")</f>
        <v>2000</v>
      </c>
      <c r="N19">
        <f>IFERROR(IF(SAP_FINAL!$C$11="Office",2500,IF(SAP_FINAL!$C$11="VPN",4000,5000)),"")</f>
        <v>2500</v>
      </c>
      <c r="O19" t="str" cm="1">
        <f t="array" ref="O19">IFERROR(IF(ROW(Tabela2[[#This Row],[Brand]])=2,"Send, "&amp;Tabela2[[#This Row],[Item]]&amp;"|Send, ^{Right}|Send, ^{Right}|Send, ^{Right}|Send, " &amp;LEFT(TRIM(Tabela2[[#This Row],[Brand]]),38)&amp;"|Send, {Enter}",IF(Tabela2[[#This Row],[Item (Reference)]]&lt;&gt;"",IF(INDEX(Tabela2[[#All],[Item (Reference)]],ROW()-1)="",IF(Tabela2[[#This Row],[Shape]]="","Sleep, "&amp;Tabela2[[#This Row],[Delay2]]&amp;"|Send, ^{Left}|Send, "&amp;Tabela2[[#This Row],[Item]]&amp;"|Send, ^{Right}|Send, ^{Right}|Send, ^{Right}|Send, "&amp;LEFT(TRIM(Tabela2[[#This Row],[Brand]]),38)&amp;"|Send, {Enter}","Sleep, "&amp;Tabela2[[#This Row],[Delay1]]&amp;"|Send, ^{Left}|Send, "&amp;Tabela2[[#This Row],[Item]]&amp;"|Send, ^{Right}|Send, MAT_KONFIG|Send, {Enter}"),"Sleep, "&amp;Tabela2[[#This Row],[Delay2]]&amp;"|Send, ^{Left}|Send, "&amp;Tabela2[[#This Row],[Item]]&amp;"|Send, ^{Right}|Send, MAT_KONFIG|Send, {Enter}"),"Sleep, "&amp;Tabela2[[#This Row],[Delay2]]&amp;"|Send, ^{Left}|Send, "&amp;Tabela2[[#This Row],[Item]]&amp;"|Send, ^{Right}|Send, ^{Right}|Send, ^{Right}|Send, "&amp;LEFT(TRIM(Tabela2[[#This Row],[Brand]]),38)&amp;"|Send, {Enter}")),"")</f>
        <v>Sleep, 2500|Send, ^{Left}|Send, 180|Send, ^{Right}|Send, MAT_KONFIG|Send, {Enter}</v>
      </c>
      <c r="P19" t="str">
        <f>IFERROR("Sleep, "&amp;Tabela2[[#This Row],[Delay2]]&amp;"|Send, U|Send, {Tab}|Send, {Tab}|Send, {Tab}|Send, {Tab}|Send, {Tab}|Send, {Tab}|Send, "&amp;TRIM(Tabela2[[#This Row],[Brand]])&amp;"|Send, {Tab}|Send, {Tab}|Send, {Tab}|Send, {Tab}|Send, {Tab}|Send, {Tab}|Send, {Tab}|Send, {Tab}|Send, {Tab}|Send, "&amp;SUBSTITUTE(Tabela2[[#This Row],[Qnt 1 (Reference)]],".",",")&amp;"|Send, {Tab}|Send, {Tab}|Send, "&amp;SUBSTITUTE(Tabela2[[#This Row],[Qnt 2 (Reference)]],".",",")&amp;"|Send, {F3}","")</f>
        <v>Sleep, 2500|Send, U|Send, {Tab}|Send, {Tab}|Send, {Tab}|Send, {Tab}|Send, {Tab}|Send, {Tab}|Send, SINDOFORM HF65Z-T2-EU|Send, {Tab}|Send, {Tab}|Send, {Tab}|Send, {Tab}|Send, {Tab}|Send, {Tab}|Send, {Tab}|Send, {Tab}|Send, {Tab}|Send, 44|Send, {Tab}|Send, {Tab}|Send, 49|Send, {F3}</v>
      </c>
      <c r="Q19" t="str">
        <f ca="1">IFERROR("Sleep, "&amp;Tabela2[[#This Row],[Delay2]]&amp;"|Send, {Down}|Send, "&amp;SUBSTITUTE(SUBSTITUTE(Tabela2[[#This Row],[Shape]],"+","{+}")," ","")&amp;"|Send, {Tab}|Send, {Tab}|Send, {Tab}|Send, {Tab}|Send, "&amp;Tabela2[[#This Row],[Brand (Reference)]]&amp;"|Send, {Tab}|Send, {Tab}|Send, {Tab}|"&amp;IF(Tabela2[[#This Row],[Brand Type]]="Normal","","Send, "&amp;Tabela2[[#This Row],[Add-On]]&amp;"|")&amp;"Send, {Tab}|Send, {Tab}|Send, {Tab}|Send, {Tab}|Send, {Tab}|Send, {Tab}|Send, "&amp;SUBSTITUTE(Tabela2[[#This Row],[Qnt 1 (Reference)]],".",",")&amp;"|Send, {Tab}|Send, {Tab}|Send, "&amp;SUBSTITUTE(Tabela2[[#This Row],[Qnt 2 (Reference)]],".",",")&amp;"|Send, {F3}","")</f>
        <v>Sleep, 2500|Send, {Down}|Send, 85/80/75|Send, {Tab}|Send, {Tab}|Send, {Tab}|Send, {Tab}|Send, SINDOFORM HF65Z-T2-EU|Send, {Tab}|Send, {Tab}|Send, {Tab}|Send, {Tab}|Send, {Tab}|Send, {Tab}|Send, {Tab}|Send, {Tab}|Send, {Tab}|Send, 44|Send, {Tab}|Send, {Tab}|Send, 49|Send, {F3}</v>
      </c>
      <c r="R19" t="str">
        <f ca="1">IFERROR(IF(Tabela2[[#This Row],[Item (Reference)]]="","",IF(Tabela2[[#This Row],[Shape]]="-",Tabela2[[#This Row],[Reference2]],Tabela2[[#This Row],[Reference3]])),"")</f>
        <v>Sleep, 2500|Send, {Down}|Send, 85/80/75|Send, {Tab}|Send, {Tab}|Send, {Tab}|Send, {Tab}|Send, SINDOFORM HF65Z-T2-EU|Send, {Tab}|Send, {Tab}|Send, {Tab}|Send, {Tab}|Send, {Tab}|Send, {Tab}|Send, {Tab}|Send, {Tab}|Send, {Tab}|Send, 44|Send, {Tab}|Send, {Tab}|Send, 49|Send, {F3}</v>
      </c>
      <c r="S19" t="str">
        <f ca="1">IFERROR(IF(Tabela2[[#This Row],[State]]="Automatico",Tabela2[[#This Row],[Reference1]]&amp;"|"&amp;Tabela2[[#This Row],[Reference4]],""),"")</f>
        <v>Sleep, 2500|Send, ^{Left}|Send, 180|Send, ^{Right}|Send, MAT_KONFIG|Send, {Enter}|Sleep, 2500|Send, {Down}|Send, 85/80/75|Send, {Tab}|Send, {Tab}|Send, {Tab}|Send, {Tab}|Send, SINDOFORM HF65Z-T2-EU|Send, {Tab}|Send, {Tab}|Send, {Tab}|Send, {Tab}|Send, {Tab}|Send, {Tab}|Send, {Tab}|Send, {Tab}|Send, {Tab}|Send, 44|Send, {Tab}|Send, {Tab}|Send, 49|Send, {F3}</v>
      </c>
    </row>
    <row r="20" spans="1:19">
      <c r="A20" cm="1">
        <f t="array" ref="A20">IFERROR(IF(Tabela2[[#This Row],[State]]="Automatico",IF(Tabela2[[#This Row],[Shape]]="","",(ROW()-1)*10),INDEX(Tabela2[[#All],[Item (Reference)]],ROW()-1)),"")</f>
        <v>190</v>
      </c>
      <c r="B20" s="633">
        <f t="shared" si="1"/>
        <v>190</v>
      </c>
      <c r="C20" s="633" t="str">
        <f>IFERROR(IF(Tabela2[[#This Row],[Shape]]="","Automatico",IF(_xlfn.XLOOKUP(Tabela2[[#This Row],[Brand]],BRANDS[Brand],BRANDS[State])="Manual","Manual",IF(Tabela2[[#This Row],[Shape]]="-","Automatico",IF(_xlfn.XLOOKUP(Tabela2[[#This Row],[Shape]],SHAPES[Shape],SHAPES[State])="Manual","Manual","Automatico")))),"")</f>
        <v>Automatico</v>
      </c>
      <c r="D20" s="633" t="str">
        <f>IFERROR(IF(Tabela2[[#This Row],[Shape]]="","Normal",IF(_xlfn.XLOOKUP(Tabela2[[#This Row],[Brand]],BRANDS[Brand],BRANDS[Brand Type])="","Normal",_xlfn.XLOOKUP(Tabela2[[#This Row],[Brand]],BRANDS[Brand],BRANDS[Brand Type]))),"")</f>
        <v>Normal</v>
      </c>
      <c r="E20" s="633" t="s">
        <v>2291</v>
      </c>
      <c r="F20" s="635" t="s">
        <v>242</v>
      </c>
      <c r="G20" s="633">
        <v>39</v>
      </c>
      <c r="H20" s="636">
        <v>43</v>
      </c>
      <c r="I20">
        <f>IFERROR(IF(Tabela2[[#This Row],[Shape]]="","",IF(Tabela2[[#This Row],[Shape]]="-",Tabela2[[#This Row],[Qnt 1]]/1000,Tabela2[[#This Row],[Qnt 1]])),"")</f>
        <v>39</v>
      </c>
      <c r="J20">
        <f>IFERROR(IF(Tabela2[[#This Row],[Shape]]="","",IF(Tabela2[[#This Row],[Shape]]="-",Tabela2[[#This Row],[Qnt 2]]/1000,Tabela2[[#This Row],[Qnt 2]])),"")</f>
        <v>43</v>
      </c>
      <c r="K20" t="str" cm="1">
        <f t="array" aca="1" ref="K20" ca="1">IFERROR(IF(Tabela2[[#This Row],[Brand Type]]="Normal",Tabela2[[#This Row],[Brand]],_xlfn.CONCAT(MID(RIGHT(_xlfn.CONCAT(MID(Tabela2[[#This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 +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Row],[Brand]]))),1)),1)))-ROW(INDIRECT("1:" &amp;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f>
        <v>SINDOFORM HF65Z-T2-EU</v>
      </c>
      <c r="L20" t="str" cm="1">
        <f t="array" aca="1" ref="L20" ca="1">IFERROR(IF(Tabela2[[#This Row],[Brand Type]]="Normal","",_xlfn.CONCAT(MID(LEFT(_xlfn.CONCAT(MID(Tabela2[[#This Row],[Brand]],1 + LEN(Tabela2[[#This Row],[Brand]])-ROW(INDIRECT("1:" &amp; LEN(Tabela2[[#This Row],[Brand]]))),1)),SEARCH(" ",_xlfn.CONCAT(MID(Tabela2[[#This Row],[Brand]],1 + LEN(Tabela2[[#This Row],[Brand]])-ROW(INDIRECT("1:" &amp; LEN(Tabela2[[#This Row],[Brand]]))),1)),1)-1),1 + LEN(LEFT(_xlfn.CONCAT(MID(Tabela2[[#This Row],[Brand]],1 + LEN(Tabela2[[#This Row],[Brand]])-ROW(INDIRECT("1:" &amp; LEN(Tabela2[[#This Row],[Brand]]))),1)),SEARCH(" ",_xlfn.CONCAT(MID(Tabela2[[#This Row],[Brand]],1 + LEN(Tabela2[[#This Row],[Brand]])-ROW(INDIRECT("1:" &amp; LEN(Tabela2[[#This Row],[Brand]]))),1)),1)-1))-ROW(INDIRECT("1:" &amp; LEN(LEFT(_xlfn.CONCAT(MID(Tabela2[[#This Row],[Brand]],1 + LEN(Tabela2[[#This Row],[Brand]])-ROW(INDIRECT("1:" &amp; LEN(Tabela2[[#This Row],[Brand]]))),1)),SEARCH(" ",_xlfn.CONCAT(MID(Tabela2[[#This Row],[Brand]],1 + LEN(Tabela2[[#This Row],[Brand]])-ROW(INDIRECT("1:" &amp; LEN(Tabela2[[#This Row],[Brand]]))),1)),1)-1)))),1))),"")</f>
        <v/>
      </c>
      <c r="M20">
        <f>IFERROR(IF(SAP_FINAL!$C$11="Office",2000,IF(SAP_FINAL!$C$11="VPN",3500,5000)),"")</f>
        <v>2000</v>
      </c>
      <c r="N20">
        <f>IFERROR(IF(SAP_FINAL!$C$11="Office",2500,IF(SAP_FINAL!$C$11="VPN",4000,5000)),"")</f>
        <v>2500</v>
      </c>
      <c r="O20" t="str" cm="1">
        <f t="array" ref="O20">IFERROR(IF(ROW(Tabela2[[#This Row],[Brand]])=2,"Send, "&amp;Tabela2[[#This Row],[Item]]&amp;"|Send, ^{Right}|Send, ^{Right}|Send, ^{Right}|Send, " &amp;LEFT(TRIM(Tabela2[[#This Row],[Brand]]),38)&amp;"|Send, {Enter}",IF(Tabela2[[#This Row],[Item (Reference)]]&lt;&gt;"",IF(INDEX(Tabela2[[#All],[Item (Reference)]],ROW()-1)="",IF(Tabela2[[#This Row],[Shape]]="","Sleep, "&amp;Tabela2[[#This Row],[Delay2]]&amp;"|Send, ^{Left}|Send, "&amp;Tabela2[[#This Row],[Item]]&amp;"|Send, ^{Right}|Send, ^{Right}|Send, ^{Right}|Send, "&amp;LEFT(TRIM(Tabela2[[#This Row],[Brand]]),38)&amp;"|Send, {Enter}","Sleep, "&amp;Tabela2[[#This Row],[Delay1]]&amp;"|Send, ^{Left}|Send, "&amp;Tabela2[[#This Row],[Item]]&amp;"|Send, ^{Right}|Send, MAT_KONFIG|Send, {Enter}"),"Sleep, "&amp;Tabela2[[#This Row],[Delay2]]&amp;"|Send, ^{Left}|Send, "&amp;Tabela2[[#This Row],[Item]]&amp;"|Send, ^{Right}|Send, MAT_KONFIG|Send, {Enter}"),"Sleep, "&amp;Tabela2[[#This Row],[Delay2]]&amp;"|Send, ^{Left}|Send, "&amp;Tabela2[[#This Row],[Item]]&amp;"|Send, ^{Right}|Send, ^{Right}|Send, ^{Right}|Send, "&amp;LEFT(TRIM(Tabela2[[#This Row],[Brand]]),38)&amp;"|Send, {Enter}")),"")</f>
        <v>Sleep, 2500|Send, ^{Left}|Send, 190|Send, ^{Right}|Send, MAT_KONFIG|Send, {Enter}</v>
      </c>
      <c r="P20" t="str">
        <f>IFERROR("Sleep, "&amp;Tabela2[[#This Row],[Delay2]]&amp;"|Send, U|Send, {Tab}|Send, {Tab}|Send, {Tab}|Send, {Tab}|Send, {Tab}|Send, {Tab}|Send, "&amp;TRIM(Tabela2[[#This Row],[Brand]])&amp;"|Send, {Tab}|Send, {Tab}|Send, {Tab}|Send, {Tab}|Send, {Tab}|Send, {Tab}|Send, {Tab}|Send, {Tab}|Send, {Tab}|Send, "&amp;SUBSTITUTE(Tabela2[[#This Row],[Qnt 1 (Reference)]],".",",")&amp;"|Send, {Tab}|Send, {Tab}|Send, "&amp;SUBSTITUTE(Tabela2[[#This Row],[Qnt 2 (Reference)]],".",",")&amp;"|Send, {F3}","")</f>
        <v>Sleep, 2500|Send, U|Send, {Tab}|Send, {Tab}|Send, {Tab}|Send, {Tab}|Send, {Tab}|Send, {Tab}|Send, SINDOFORM HF65Z-T2-EU|Send, {Tab}|Send, {Tab}|Send, {Tab}|Send, {Tab}|Send, {Tab}|Send, {Tab}|Send, {Tab}|Send, {Tab}|Send, {Tab}|Send, 39|Send, {Tab}|Send, {Tab}|Send, 43|Send, {F3}</v>
      </c>
      <c r="Q20" t="str">
        <f ca="1">IFERROR("Sleep, "&amp;Tabela2[[#This Row],[Delay2]]&amp;"|Send, {Down}|Send, "&amp;SUBSTITUTE(SUBSTITUTE(Tabela2[[#This Row],[Shape]],"+","{+}")," ","")&amp;"|Send, {Tab}|Send, {Tab}|Send, {Tab}|Send, {Tab}|Send, "&amp;Tabela2[[#This Row],[Brand (Reference)]]&amp;"|Send, {Tab}|Send, {Tab}|Send, {Tab}|"&amp;IF(Tabela2[[#This Row],[Brand Type]]="Normal","","Send, "&amp;Tabela2[[#This Row],[Add-On]]&amp;"|")&amp;"Send, {Tab}|Send, {Tab}|Send, {Tab}|Send, {Tab}|Send, {Tab}|Send, {Tab}|Send, "&amp;SUBSTITUTE(Tabela2[[#This Row],[Qnt 1 (Reference)]],".",",")&amp;"|Send, {Tab}|Send, {Tab}|Send, "&amp;SUBSTITUTE(Tabela2[[#This Row],[Qnt 2 (Reference)]],".",",")&amp;"|Send, {F3}","")</f>
        <v>Sleep, 2500|Send, {Down}|Send, 90/80|Send, {Tab}|Send, {Tab}|Send, {Tab}|Send, {Tab}|Send, SINDOFORM HF65Z-T2-EU|Send, {Tab}|Send, {Tab}|Send, {Tab}|Send, {Tab}|Send, {Tab}|Send, {Tab}|Send, {Tab}|Send, {Tab}|Send, {Tab}|Send, 39|Send, {Tab}|Send, {Tab}|Send, 43|Send, {F3}</v>
      </c>
      <c r="R20" t="str">
        <f ca="1">IFERROR(IF(Tabela2[[#This Row],[Item (Reference)]]="","",IF(Tabela2[[#This Row],[Shape]]="-",Tabela2[[#This Row],[Reference2]],Tabela2[[#This Row],[Reference3]])),"")</f>
        <v>Sleep, 2500|Send, {Down}|Send, 90/80|Send, {Tab}|Send, {Tab}|Send, {Tab}|Send, {Tab}|Send, SINDOFORM HF65Z-T2-EU|Send, {Tab}|Send, {Tab}|Send, {Tab}|Send, {Tab}|Send, {Tab}|Send, {Tab}|Send, {Tab}|Send, {Tab}|Send, {Tab}|Send, 39|Send, {Tab}|Send, {Tab}|Send, 43|Send, {F3}</v>
      </c>
      <c r="S20" t="str">
        <f ca="1">IFERROR(IF(Tabela2[[#This Row],[State]]="Automatico",Tabela2[[#This Row],[Reference1]]&amp;"|"&amp;Tabela2[[#This Row],[Reference4]],""),"")</f>
        <v>Sleep, 2500|Send, ^{Left}|Send, 190|Send, ^{Right}|Send, MAT_KONFIG|Send, {Enter}|Sleep, 2500|Send, {Down}|Send, 90/80|Send, {Tab}|Send, {Tab}|Send, {Tab}|Send, {Tab}|Send, SINDOFORM HF65Z-T2-EU|Send, {Tab}|Send, {Tab}|Send, {Tab}|Send, {Tab}|Send, {Tab}|Send, {Tab}|Send, {Tab}|Send, {Tab}|Send, {Tab}|Send, 39|Send, {Tab}|Send, {Tab}|Send, 43|Send, {F3}</v>
      </c>
    </row>
    <row r="21" spans="1:19">
      <c r="A21" cm="1">
        <f t="array" ref="A21">IFERROR(IF(Tabela2[[#This Row],[State]]="Automatico",IF(Tabela2[[#This Row],[Shape]]="","",(ROW()-1)*10),INDEX(Tabela2[[#All],[Item (Reference)]],ROW()-1)),"")</f>
        <v>200</v>
      </c>
      <c r="B21" s="633">
        <f t="shared" si="1"/>
        <v>200</v>
      </c>
      <c r="C21" s="633" t="str">
        <f>IFERROR(IF(Tabela2[[#This Row],[Shape]]="","Automatico",IF(_xlfn.XLOOKUP(Tabela2[[#This Row],[Brand]],BRANDS[Brand],BRANDS[State])="Manual","Manual",IF(Tabela2[[#This Row],[Shape]]="-","Automatico",IF(_xlfn.XLOOKUP(Tabela2[[#This Row],[Shape]],SHAPES[Shape],SHAPES[State])="Manual","Manual","Automatico")))),"")</f>
        <v>Automatico</v>
      </c>
      <c r="D21" s="633" t="str">
        <f>IFERROR(IF(Tabela2[[#This Row],[Shape]]="","Normal",IF(_xlfn.XLOOKUP(Tabela2[[#This Row],[Brand]],BRANDS[Brand],BRANDS[Brand Type])="","Normal",_xlfn.XLOOKUP(Tabela2[[#This Row],[Brand]],BRANDS[Brand],BRANDS[Brand Type]))),"")</f>
        <v>Normal</v>
      </c>
      <c r="E21" s="633" t="s">
        <v>2296</v>
      </c>
      <c r="F21" s="635" t="s">
        <v>2029</v>
      </c>
      <c r="G21" s="633">
        <v>82</v>
      </c>
      <c r="H21" s="636">
        <v>88</v>
      </c>
      <c r="I21">
        <f>IFERROR(IF(Tabela2[[#This Row],[Shape]]="","",IF(Tabela2[[#This Row],[Shape]]="-",Tabela2[[#This Row],[Qnt 1]]/1000,Tabela2[[#This Row],[Qnt 1]])),"")</f>
        <v>82</v>
      </c>
      <c r="J21">
        <f>IFERROR(IF(Tabela2[[#This Row],[Shape]]="","",IF(Tabela2[[#This Row],[Shape]]="-",Tabela2[[#This Row],[Qnt 2]]/1000,Tabela2[[#This Row],[Qnt 2]])),"")</f>
        <v>88</v>
      </c>
      <c r="K21" t="str" cm="1">
        <f t="array" aca="1" ref="K21" ca="1">IFERROR(IF(Tabela2[[#This Row],[Brand Type]]="Normal",Tabela2[[#This Row],[Brand]],_xlfn.CONCAT(MID(RIGHT(_xlfn.CONCAT(MID(Tabela2[[#This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 +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Row],[Brand]]))),1)),1)))-ROW(INDIRECT("1:" &amp;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f>
        <v>SINDOFORM K40-US</v>
      </c>
      <c r="L21" t="str" cm="1">
        <f t="array" aca="1" ref="L21" ca="1">IFERROR(IF(Tabela2[[#This Row],[Brand Type]]="Normal","",_xlfn.CONCAT(MID(LEFT(_xlfn.CONCAT(MID(Tabela2[[#This Row],[Brand]],1 + LEN(Tabela2[[#This Row],[Brand]])-ROW(INDIRECT("1:" &amp; LEN(Tabela2[[#This Row],[Brand]]))),1)),SEARCH(" ",_xlfn.CONCAT(MID(Tabela2[[#This Row],[Brand]],1 + LEN(Tabela2[[#This Row],[Brand]])-ROW(INDIRECT("1:" &amp; LEN(Tabela2[[#This Row],[Brand]]))),1)),1)-1),1 + LEN(LEFT(_xlfn.CONCAT(MID(Tabela2[[#This Row],[Brand]],1 + LEN(Tabela2[[#This Row],[Brand]])-ROW(INDIRECT("1:" &amp; LEN(Tabela2[[#This Row],[Brand]]))),1)),SEARCH(" ",_xlfn.CONCAT(MID(Tabela2[[#This Row],[Brand]],1 + LEN(Tabela2[[#This Row],[Brand]])-ROW(INDIRECT("1:" &amp; LEN(Tabela2[[#This Row],[Brand]]))),1)),1)-1))-ROW(INDIRECT("1:" &amp; LEN(LEFT(_xlfn.CONCAT(MID(Tabela2[[#This Row],[Brand]],1 + LEN(Tabela2[[#This Row],[Brand]])-ROW(INDIRECT("1:" &amp; LEN(Tabela2[[#This Row],[Brand]]))),1)),SEARCH(" ",_xlfn.CONCAT(MID(Tabela2[[#This Row],[Brand]],1 + LEN(Tabela2[[#This Row],[Brand]])-ROW(INDIRECT("1:" &amp; LEN(Tabela2[[#This Row],[Brand]]))),1)),1)-1)))),1))),"")</f>
        <v/>
      </c>
      <c r="M21">
        <f>IFERROR(IF(SAP_FINAL!$C$11="Office",2000,IF(SAP_FINAL!$C$11="VPN",3500,5000)),"")</f>
        <v>2000</v>
      </c>
      <c r="N21">
        <f>IFERROR(IF(SAP_FINAL!$C$11="Office",2500,IF(SAP_FINAL!$C$11="VPN",4000,5000)),"")</f>
        <v>2500</v>
      </c>
      <c r="O21" t="str" cm="1">
        <f t="array" ref="O21">IFERROR(IF(ROW(Tabela2[[#This Row],[Brand]])=2,"Send, "&amp;Tabela2[[#This Row],[Item]]&amp;"|Send, ^{Right}|Send, ^{Right}|Send, ^{Right}|Send, " &amp;LEFT(TRIM(Tabela2[[#This Row],[Brand]]),38)&amp;"|Send, {Enter}",IF(Tabela2[[#This Row],[Item (Reference)]]&lt;&gt;"",IF(INDEX(Tabela2[[#All],[Item (Reference)]],ROW()-1)="",IF(Tabela2[[#This Row],[Shape]]="","Sleep, "&amp;Tabela2[[#This Row],[Delay2]]&amp;"|Send, ^{Left}|Send, "&amp;Tabela2[[#This Row],[Item]]&amp;"|Send, ^{Right}|Send, ^{Right}|Send, ^{Right}|Send, "&amp;LEFT(TRIM(Tabela2[[#This Row],[Brand]]),38)&amp;"|Send, {Enter}","Sleep, "&amp;Tabela2[[#This Row],[Delay1]]&amp;"|Send, ^{Left}|Send, "&amp;Tabela2[[#This Row],[Item]]&amp;"|Send, ^{Right}|Send, MAT_KONFIG|Send, {Enter}"),"Sleep, "&amp;Tabela2[[#This Row],[Delay2]]&amp;"|Send, ^{Left}|Send, "&amp;Tabela2[[#This Row],[Item]]&amp;"|Send, ^{Right}|Send, MAT_KONFIG|Send, {Enter}"),"Sleep, "&amp;Tabela2[[#This Row],[Delay2]]&amp;"|Send, ^{Left}|Send, "&amp;Tabela2[[#This Row],[Item]]&amp;"|Send, ^{Right}|Send, ^{Right}|Send, ^{Right}|Send, "&amp;LEFT(TRIM(Tabela2[[#This Row],[Brand]]),38)&amp;"|Send, {Enter}")),"")</f>
        <v>Sleep, 2500|Send, ^{Left}|Send, 200|Send, ^{Right}|Send, MAT_KONFIG|Send, {Enter}</v>
      </c>
      <c r="P21" t="str">
        <f>IFERROR("Sleep, "&amp;Tabela2[[#This Row],[Delay2]]&amp;"|Send, U|Send, {Tab}|Send, {Tab}|Send, {Tab}|Send, {Tab}|Send, {Tab}|Send, {Tab}|Send, "&amp;TRIM(Tabela2[[#This Row],[Brand]])&amp;"|Send, {Tab}|Send, {Tab}|Send, {Tab}|Send, {Tab}|Send, {Tab}|Send, {Tab}|Send, {Tab}|Send, {Tab}|Send, {Tab}|Send, "&amp;SUBSTITUTE(Tabela2[[#This Row],[Qnt 1 (Reference)]],".",",")&amp;"|Send, {Tab}|Send, {Tab}|Send, "&amp;SUBSTITUTE(Tabela2[[#This Row],[Qnt 2 (Reference)]],".",",")&amp;"|Send, {F3}","")</f>
        <v>Sleep, 2500|Send, U|Send, {Tab}|Send, {Tab}|Send, {Tab}|Send, {Tab}|Send, {Tab}|Send, {Tab}|Send, SINDOFORM K40-US|Send, {Tab}|Send, {Tab}|Send, {Tab}|Send, {Tab}|Send, {Tab}|Send, {Tab}|Send, {Tab}|Send, {Tab}|Send, {Tab}|Send, 82|Send, {Tab}|Send, {Tab}|Send, 88|Send, {F3}</v>
      </c>
      <c r="Q21" t="str">
        <f ca="1">IFERROR("Sleep, "&amp;Tabela2[[#This Row],[Delay2]]&amp;"|Send, {Down}|Send, "&amp;SUBSTITUTE(SUBSTITUTE(Tabela2[[#This Row],[Shape]],"+","{+}")," ","")&amp;"|Send, {Tab}|Send, {Tab}|Send, {Tab}|Send, {Tab}|Send, "&amp;Tabela2[[#This Row],[Brand (Reference)]]&amp;"|Send, {Tab}|Send, {Tab}|Send, {Tab}|"&amp;IF(Tabela2[[#This Row],[Brand Type]]="Normal","","Send, "&amp;Tabela2[[#This Row],[Add-On]]&amp;"|")&amp;"Send, {Tab}|Send, {Tab}|Send, {Tab}|Send, {Tab}|Send, {Tab}|Send, {Tab}|Send, "&amp;SUBSTITUTE(Tabela2[[#This Row],[Qnt 1 (Reference)]],".",",")&amp;"|Send, {Tab}|Send, {Tab}|Send, "&amp;SUBSTITUTE(Tabela2[[#This Row],[Qnt 2 (Reference)]],".",",")&amp;"|Send, {F3}","")</f>
        <v>Sleep, 2500|Send, {Down}|Send, D252X4,5-3A30|Send, {Tab}|Send, {Tab}|Send, {Tab}|Send, {Tab}|Send, SINDOFORM K40-US|Send, {Tab}|Send, {Tab}|Send, {Tab}|Send, {Tab}|Send, {Tab}|Send, {Tab}|Send, {Tab}|Send, {Tab}|Send, {Tab}|Send, 82|Send, {Tab}|Send, {Tab}|Send, 88|Send, {F3}</v>
      </c>
      <c r="R21" t="str">
        <f ca="1">IFERROR(IF(Tabela2[[#This Row],[Item (Reference)]]="","",IF(Tabela2[[#This Row],[Shape]]="-",Tabela2[[#This Row],[Reference2]],Tabela2[[#This Row],[Reference3]])),"")</f>
        <v>Sleep, 2500|Send, {Down}|Send, D252X4,5-3A30|Send, {Tab}|Send, {Tab}|Send, {Tab}|Send, {Tab}|Send, SINDOFORM K40-US|Send, {Tab}|Send, {Tab}|Send, {Tab}|Send, {Tab}|Send, {Tab}|Send, {Tab}|Send, {Tab}|Send, {Tab}|Send, {Tab}|Send, 82|Send, {Tab}|Send, {Tab}|Send, 88|Send, {F3}</v>
      </c>
      <c r="S21" t="str">
        <f ca="1">IFERROR(IF(Tabela2[[#This Row],[State]]="Automatico",Tabela2[[#This Row],[Reference1]]&amp;"|"&amp;Tabela2[[#This Row],[Reference4]],""),"")</f>
        <v>Sleep, 2500|Send, ^{Left}|Send, 200|Send, ^{Right}|Send, MAT_KONFIG|Send, {Enter}|Sleep, 2500|Send, {Down}|Send, D252X4,5-3A30|Send, {Tab}|Send, {Tab}|Send, {Tab}|Send, {Tab}|Send, SINDOFORM K40-US|Send, {Tab}|Send, {Tab}|Send, {Tab}|Send, {Tab}|Send, {Tab}|Send, {Tab}|Send, {Tab}|Send, {Tab}|Send, {Tab}|Send, 82|Send, {Tab}|Send, {Tab}|Send, 88|Send, {F3}</v>
      </c>
    </row>
    <row r="22" spans="1:19">
      <c r="A22" cm="1">
        <f t="array" ref="A22">IFERROR(IF(Tabela2[[#This Row],[State]]="Automatico",IF(Tabela2[[#This Row],[Shape]]="","",(ROW()-1)*10),INDEX(Tabela2[[#All],[Item (Reference)]],ROW()-1)),"")</f>
        <v>210</v>
      </c>
      <c r="B22" s="633">
        <f t="shared" si="1"/>
        <v>210</v>
      </c>
      <c r="C22" s="633" t="str">
        <f>IFERROR(IF(Tabela2[[#This Row],[Shape]]="","Automatico",IF(_xlfn.XLOOKUP(Tabela2[[#This Row],[Brand]],BRANDS[Brand],BRANDS[State])="Manual","Manual",IF(Tabela2[[#This Row],[Shape]]="-","Automatico",IF(_xlfn.XLOOKUP(Tabela2[[#This Row],[Shape]],SHAPES[Shape],SHAPES[State])="Manual","Manual","Automatico")))),"")</f>
        <v>Automatico</v>
      </c>
      <c r="D22" s="633" t="str">
        <f>IFERROR(IF(Tabela2[[#This Row],[Shape]]="","Normal",IF(_xlfn.XLOOKUP(Tabela2[[#This Row],[Brand]],BRANDS[Brand],BRANDS[Brand Type])="","Normal",_xlfn.XLOOKUP(Tabela2[[#This Row],[Brand]],BRANDS[Brand],BRANDS[Brand Type]))),"")</f>
        <v>Normal</v>
      </c>
      <c r="E22" s="633" t="s">
        <v>2296</v>
      </c>
      <c r="F22" s="635" t="s">
        <v>2028</v>
      </c>
      <c r="G22" s="633">
        <v>1203</v>
      </c>
      <c r="H22" s="636">
        <v>1228</v>
      </c>
      <c r="I22">
        <f>IFERROR(IF(Tabela2[[#This Row],[Shape]]="","",IF(Tabela2[[#This Row],[Shape]]="-",Tabela2[[#This Row],[Qnt 1]]/1000,Tabela2[[#This Row],[Qnt 1]])),"")</f>
        <v>1203</v>
      </c>
      <c r="J22">
        <f>IFERROR(IF(Tabela2[[#This Row],[Shape]]="","",IF(Tabela2[[#This Row],[Shape]]="-",Tabela2[[#This Row],[Qnt 2]]/1000,Tabela2[[#This Row],[Qnt 2]])),"")</f>
        <v>1228</v>
      </c>
      <c r="K22" t="str" cm="1">
        <f t="array" aca="1" ref="K22" ca="1">IFERROR(IF(Tabela2[[#This Row],[Brand Type]]="Normal",Tabela2[[#This Row],[Brand]],_xlfn.CONCAT(MID(RIGHT(_xlfn.CONCAT(MID(Tabela2[[#This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 +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Row],[Brand]]))),1)),1)))-ROW(INDIRECT("1:" &amp;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f>
        <v>SINDOFORM K40-US</v>
      </c>
      <c r="L22" t="str" cm="1">
        <f t="array" aca="1" ref="L22" ca="1">IFERROR(IF(Tabela2[[#This Row],[Brand Type]]="Normal","",_xlfn.CONCAT(MID(LEFT(_xlfn.CONCAT(MID(Tabela2[[#This Row],[Brand]],1 + LEN(Tabela2[[#This Row],[Brand]])-ROW(INDIRECT("1:" &amp; LEN(Tabela2[[#This Row],[Brand]]))),1)),SEARCH(" ",_xlfn.CONCAT(MID(Tabela2[[#This Row],[Brand]],1 + LEN(Tabela2[[#This Row],[Brand]])-ROW(INDIRECT("1:" &amp; LEN(Tabela2[[#This Row],[Brand]]))),1)),1)-1),1 + LEN(LEFT(_xlfn.CONCAT(MID(Tabela2[[#This Row],[Brand]],1 + LEN(Tabela2[[#This Row],[Brand]])-ROW(INDIRECT("1:" &amp; LEN(Tabela2[[#This Row],[Brand]]))),1)),SEARCH(" ",_xlfn.CONCAT(MID(Tabela2[[#This Row],[Brand]],1 + LEN(Tabela2[[#This Row],[Brand]])-ROW(INDIRECT("1:" &amp; LEN(Tabela2[[#This Row],[Brand]]))),1)),1)-1))-ROW(INDIRECT("1:" &amp; LEN(LEFT(_xlfn.CONCAT(MID(Tabela2[[#This Row],[Brand]],1 + LEN(Tabela2[[#This Row],[Brand]])-ROW(INDIRECT("1:" &amp; LEN(Tabela2[[#This Row],[Brand]]))),1)),SEARCH(" ",_xlfn.CONCAT(MID(Tabela2[[#This Row],[Brand]],1 + LEN(Tabela2[[#This Row],[Brand]])-ROW(INDIRECT("1:" &amp; LEN(Tabela2[[#This Row],[Brand]]))),1)),1)-1)))),1))),"")</f>
        <v/>
      </c>
      <c r="M22">
        <f>IFERROR(IF(SAP_FINAL!$C$11="Office",2000,IF(SAP_FINAL!$C$11="VPN",3500,5000)),"")</f>
        <v>2000</v>
      </c>
      <c r="N22">
        <f>IFERROR(IF(SAP_FINAL!$C$11="Office",2500,IF(SAP_FINAL!$C$11="VPN",4000,5000)),"")</f>
        <v>2500</v>
      </c>
      <c r="O22" t="str" cm="1">
        <f t="array" ref="O22">IFERROR(IF(ROW(Tabela2[[#This Row],[Brand]])=2,"Send, "&amp;Tabela2[[#This Row],[Item]]&amp;"|Send, ^{Right}|Send, ^{Right}|Send, ^{Right}|Send, " &amp;LEFT(TRIM(Tabela2[[#This Row],[Brand]]),38)&amp;"|Send, {Enter}",IF(Tabela2[[#This Row],[Item (Reference)]]&lt;&gt;"",IF(INDEX(Tabela2[[#All],[Item (Reference)]],ROW()-1)="",IF(Tabela2[[#This Row],[Shape]]="","Sleep, "&amp;Tabela2[[#This Row],[Delay2]]&amp;"|Send, ^{Left}|Send, "&amp;Tabela2[[#This Row],[Item]]&amp;"|Send, ^{Right}|Send, ^{Right}|Send, ^{Right}|Send, "&amp;LEFT(TRIM(Tabela2[[#This Row],[Brand]]),38)&amp;"|Send, {Enter}","Sleep, "&amp;Tabela2[[#This Row],[Delay1]]&amp;"|Send, ^{Left}|Send, "&amp;Tabela2[[#This Row],[Item]]&amp;"|Send, ^{Right}|Send, MAT_KONFIG|Send, {Enter}"),"Sleep, "&amp;Tabela2[[#This Row],[Delay2]]&amp;"|Send, ^{Left}|Send, "&amp;Tabela2[[#This Row],[Item]]&amp;"|Send, ^{Right}|Send, MAT_KONFIG|Send, {Enter}"),"Sleep, "&amp;Tabela2[[#This Row],[Delay2]]&amp;"|Send, ^{Left}|Send, "&amp;Tabela2[[#This Row],[Item]]&amp;"|Send, ^{Right}|Send, ^{Right}|Send, ^{Right}|Send, "&amp;LEFT(TRIM(Tabela2[[#This Row],[Brand]]),38)&amp;"|Send, {Enter}")),"")</f>
        <v>Sleep, 2500|Send, ^{Left}|Send, 210|Send, ^{Right}|Send, MAT_KONFIG|Send, {Enter}</v>
      </c>
      <c r="P22" t="str">
        <f>IFERROR("Sleep, "&amp;Tabela2[[#This Row],[Delay2]]&amp;"|Send, U|Send, {Tab}|Send, {Tab}|Send, {Tab}|Send, {Tab}|Send, {Tab}|Send, {Tab}|Send, "&amp;TRIM(Tabela2[[#This Row],[Brand]])&amp;"|Send, {Tab}|Send, {Tab}|Send, {Tab}|Send, {Tab}|Send, {Tab}|Send, {Tab}|Send, {Tab}|Send, {Tab}|Send, {Tab}|Send, "&amp;SUBSTITUTE(Tabela2[[#This Row],[Qnt 1 (Reference)]],".",",")&amp;"|Send, {Tab}|Send, {Tab}|Send, "&amp;SUBSTITUTE(Tabela2[[#This Row],[Qnt 2 (Reference)]],".",",")&amp;"|Send, {F3}","")</f>
        <v>Sleep, 2500|Send, U|Send, {Tab}|Send, {Tab}|Send, {Tab}|Send, {Tab}|Send, {Tab}|Send, {Tab}|Send, SINDOFORM K40-US|Send, {Tab}|Send, {Tab}|Send, {Tab}|Send, {Tab}|Send, {Tab}|Send, {Tab}|Send, {Tab}|Send, {Tab}|Send, {Tab}|Send, 1203|Send, {Tab}|Send, {Tab}|Send, 1228|Send, {F3}</v>
      </c>
      <c r="Q22" t="str">
        <f ca="1">IFERROR("Sleep, "&amp;Tabela2[[#This Row],[Delay2]]&amp;"|Send, {Down}|Send, "&amp;SUBSTITUTE(SUBSTITUTE(Tabela2[[#This Row],[Shape]],"+","{+}")," ","")&amp;"|Send, {Tab}|Send, {Tab}|Send, {Tab}|Send, {Tab}|Send, "&amp;Tabela2[[#This Row],[Brand (Reference)]]&amp;"|Send, {Tab}|Send, {Tab}|Send, {Tab}|"&amp;IF(Tabela2[[#This Row],[Brand Type]]="Normal","","Send, "&amp;Tabela2[[#This Row],[Add-On]]&amp;"|")&amp;"Send, {Tab}|Send, {Tab}|Send, {Tab}|Send, {Tab}|Send, {Tab}|Send, {Tab}|Send, "&amp;SUBSTITUTE(Tabela2[[#This Row],[Qnt 1 (Reference)]],".",",")&amp;"|Send, {Tab}|Send, {Tab}|Send, "&amp;SUBSTITUTE(Tabela2[[#This Row],[Qnt 2 (Reference)]],".",",")&amp;"|Send, {F3}","")</f>
        <v>Sleep, 2500|Send, {Down}|Send, D252X4,5-4A30|Send, {Tab}|Send, {Tab}|Send, {Tab}|Send, {Tab}|Send, SINDOFORM K40-US|Send, {Tab}|Send, {Tab}|Send, {Tab}|Send, {Tab}|Send, {Tab}|Send, {Tab}|Send, {Tab}|Send, {Tab}|Send, {Tab}|Send, 1203|Send, {Tab}|Send, {Tab}|Send, 1228|Send, {F3}</v>
      </c>
      <c r="R22" t="str">
        <f ca="1">IFERROR(IF(Tabela2[[#This Row],[Item (Reference)]]="","",IF(Tabela2[[#This Row],[Shape]]="-",Tabela2[[#This Row],[Reference2]],Tabela2[[#This Row],[Reference3]])),"")</f>
        <v>Sleep, 2500|Send, {Down}|Send, D252X4,5-4A30|Send, {Tab}|Send, {Tab}|Send, {Tab}|Send, {Tab}|Send, SINDOFORM K40-US|Send, {Tab}|Send, {Tab}|Send, {Tab}|Send, {Tab}|Send, {Tab}|Send, {Tab}|Send, {Tab}|Send, {Tab}|Send, {Tab}|Send, 1203|Send, {Tab}|Send, {Tab}|Send, 1228|Send, {F3}</v>
      </c>
      <c r="S22" t="str">
        <f ca="1">IFERROR(IF(Tabela2[[#This Row],[State]]="Automatico",Tabela2[[#This Row],[Reference1]]&amp;"|"&amp;Tabela2[[#This Row],[Reference4]],""),"")</f>
        <v>Sleep, 2500|Send, ^{Left}|Send, 210|Send, ^{Right}|Send, MAT_KONFIG|Send, {Enter}|Sleep, 2500|Send, {Down}|Send, D252X4,5-4A30|Send, {Tab}|Send, {Tab}|Send, {Tab}|Send, {Tab}|Send, SINDOFORM K40-US|Send, {Tab}|Send, {Tab}|Send, {Tab}|Send, {Tab}|Send, {Tab}|Send, {Tab}|Send, {Tab}|Send, {Tab}|Send, {Tab}|Send, 1203|Send, {Tab}|Send, {Tab}|Send, 1228|Send, {F3}</v>
      </c>
    </row>
    <row r="23" spans="1:19">
      <c r="A23" cm="1">
        <f t="array" ref="A23">IFERROR(IF(Tabela2[[#This Row],[State]]="Automatico",IF(Tabela2[[#This Row],[Shape]]="","",(ROW()-1)*10),INDEX(Tabela2[[#All],[Item (Reference)]],ROW()-1)),"")</f>
        <v>220</v>
      </c>
      <c r="B23" s="633">
        <f t="shared" si="1"/>
        <v>220</v>
      </c>
      <c r="C23" s="633" t="str">
        <f>IFERROR(IF(Tabela2[[#This Row],[Shape]]="","Automatico",IF(_xlfn.XLOOKUP(Tabela2[[#This Row],[Brand]],BRANDS[Brand],BRANDS[State])="Manual","Manual",IF(Tabela2[[#This Row],[Shape]]="-","Automatico",IF(_xlfn.XLOOKUP(Tabela2[[#This Row],[Shape]],SHAPES[Shape],SHAPES[State])="Manual","Manual","Automatico")))),"")</f>
        <v>Automatico</v>
      </c>
      <c r="D23" s="633" t="str">
        <f>IFERROR(IF(Tabela2[[#This Row],[Shape]]="","Normal",IF(_xlfn.XLOOKUP(Tabela2[[#This Row],[Brand]],BRANDS[Brand],BRANDS[Brand Type])="","Normal",_xlfn.XLOOKUP(Tabela2[[#This Row],[Brand]],BRANDS[Brand],BRANDS[Brand Type]))),"")</f>
        <v>Normal</v>
      </c>
      <c r="E23" s="633" t="s">
        <v>2296</v>
      </c>
      <c r="F23" s="635" t="s">
        <v>2027</v>
      </c>
      <c r="G23" s="633">
        <v>43</v>
      </c>
      <c r="H23" s="636">
        <v>48</v>
      </c>
      <c r="I23">
        <f>IFERROR(IF(Tabela2[[#This Row],[Shape]]="","",IF(Tabela2[[#This Row],[Shape]]="-",Tabela2[[#This Row],[Qnt 1]]/1000,Tabela2[[#This Row],[Qnt 1]])),"")</f>
        <v>43</v>
      </c>
      <c r="J23">
        <f>IFERROR(IF(Tabela2[[#This Row],[Shape]]="","",IF(Tabela2[[#This Row],[Shape]]="-",Tabela2[[#This Row],[Qnt 2]]/1000,Tabela2[[#This Row],[Qnt 2]])),"")</f>
        <v>48</v>
      </c>
      <c r="K23" t="str" cm="1">
        <f t="array" aca="1" ref="K23" ca="1">IFERROR(IF(Tabela2[[#This Row],[Brand Type]]="Normal",Tabela2[[#This Row],[Brand]],_xlfn.CONCAT(MID(RIGHT(_xlfn.CONCAT(MID(Tabela2[[#This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 +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Row],[Brand]]))),1)),1)))-ROW(INDIRECT("1:" &amp;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f>
        <v>SINDOFORM K40-US</v>
      </c>
      <c r="L23" t="str" cm="1">
        <f t="array" aca="1" ref="L23" ca="1">IFERROR(IF(Tabela2[[#This Row],[Brand Type]]="Normal","",_xlfn.CONCAT(MID(LEFT(_xlfn.CONCAT(MID(Tabela2[[#This Row],[Brand]],1 + LEN(Tabela2[[#This Row],[Brand]])-ROW(INDIRECT("1:" &amp; LEN(Tabela2[[#This Row],[Brand]]))),1)),SEARCH(" ",_xlfn.CONCAT(MID(Tabela2[[#This Row],[Brand]],1 + LEN(Tabela2[[#This Row],[Brand]])-ROW(INDIRECT("1:" &amp; LEN(Tabela2[[#This Row],[Brand]]))),1)),1)-1),1 + LEN(LEFT(_xlfn.CONCAT(MID(Tabela2[[#This Row],[Brand]],1 + LEN(Tabela2[[#This Row],[Brand]])-ROW(INDIRECT("1:" &amp; LEN(Tabela2[[#This Row],[Brand]]))),1)),SEARCH(" ",_xlfn.CONCAT(MID(Tabela2[[#This Row],[Brand]],1 + LEN(Tabela2[[#This Row],[Brand]])-ROW(INDIRECT("1:" &amp; LEN(Tabela2[[#This Row],[Brand]]))),1)),1)-1))-ROW(INDIRECT("1:" &amp; LEN(LEFT(_xlfn.CONCAT(MID(Tabela2[[#This Row],[Brand]],1 + LEN(Tabela2[[#This Row],[Brand]])-ROW(INDIRECT("1:" &amp; LEN(Tabela2[[#This Row],[Brand]]))),1)),SEARCH(" ",_xlfn.CONCAT(MID(Tabela2[[#This Row],[Brand]],1 + LEN(Tabela2[[#This Row],[Brand]])-ROW(INDIRECT("1:" &amp; LEN(Tabela2[[#This Row],[Brand]]))),1)),1)-1)))),1))),"")</f>
        <v/>
      </c>
      <c r="M23">
        <f>IFERROR(IF(SAP_FINAL!$C$11="Office",2000,IF(SAP_FINAL!$C$11="VPN",3500,5000)),"")</f>
        <v>2000</v>
      </c>
      <c r="N23">
        <f>IFERROR(IF(SAP_FINAL!$C$11="Office",2500,IF(SAP_FINAL!$C$11="VPN",4000,5000)),"")</f>
        <v>2500</v>
      </c>
      <c r="O23" t="str" cm="1">
        <f t="array" ref="O23">IFERROR(IF(ROW(Tabela2[[#This Row],[Brand]])=2,"Send, "&amp;Tabela2[[#This Row],[Item]]&amp;"|Send, ^{Right}|Send, ^{Right}|Send, ^{Right}|Send, " &amp;LEFT(TRIM(Tabela2[[#This Row],[Brand]]),38)&amp;"|Send, {Enter}",IF(Tabela2[[#This Row],[Item (Reference)]]&lt;&gt;"",IF(INDEX(Tabela2[[#All],[Item (Reference)]],ROW()-1)="",IF(Tabela2[[#This Row],[Shape]]="","Sleep, "&amp;Tabela2[[#This Row],[Delay2]]&amp;"|Send, ^{Left}|Send, "&amp;Tabela2[[#This Row],[Item]]&amp;"|Send, ^{Right}|Send, ^{Right}|Send, ^{Right}|Send, "&amp;LEFT(TRIM(Tabela2[[#This Row],[Brand]]),38)&amp;"|Send, {Enter}","Sleep, "&amp;Tabela2[[#This Row],[Delay1]]&amp;"|Send, ^{Left}|Send, "&amp;Tabela2[[#This Row],[Item]]&amp;"|Send, ^{Right}|Send, MAT_KONFIG|Send, {Enter}"),"Sleep, "&amp;Tabela2[[#This Row],[Delay2]]&amp;"|Send, ^{Left}|Send, "&amp;Tabela2[[#This Row],[Item]]&amp;"|Send, ^{Right}|Send, MAT_KONFIG|Send, {Enter}"),"Sleep, "&amp;Tabela2[[#This Row],[Delay2]]&amp;"|Send, ^{Left}|Send, "&amp;Tabela2[[#This Row],[Item]]&amp;"|Send, ^{Right}|Send, ^{Right}|Send, ^{Right}|Send, "&amp;LEFT(TRIM(Tabela2[[#This Row],[Brand]]),38)&amp;"|Send, {Enter}")),"")</f>
        <v>Sleep, 2500|Send, ^{Left}|Send, 220|Send, ^{Right}|Send, MAT_KONFIG|Send, {Enter}</v>
      </c>
      <c r="P23" t="str">
        <f>IFERROR("Sleep, "&amp;Tabela2[[#This Row],[Delay2]]&amp;"|Send, U|Send, {Tab}|Send, {Tab}|Send, {Tab}|Send, {Tab}|Send, {Tab}|Send, {Tab}|Send, "&amp;TRIM(Tabela2[[#This Row],[Brand]])&amp;"|Send, {Tab}|Send, {Tab}|Send, {Tab}|Send, {Tab}|Send, {Tab}|Send, {Tab}|Send, {Tab}|Send, {Tab}|Send, {Tab}|Send, "&amp;SUBSTITUTE(Tabela2[[#This Row],[Qnt 1 (Reference)]],".",",")&amp;"|Send, {Tab}|Send, {Tab}|Send, "&amp;SUBSTITUTE(Tabela2[[#This Row],[Qnt 2 (Reference)]],".",",")&amp;"|Send, {F3}","")</f>
        <v>Sleep, 2500|Send, U|Send, {Tab}|Send, {Tab}|Send, {Tab}|Send, {Tab}|Send, {Tab}|Send, {Tab}|Send, SINDOFORM K40-US|Send, {Tab}|Send, {Tab}|Send, {Tab}|Send, {Tab}|Send, {Tab}|Send, {Tab}|Send, {Tab}|Send, {Tab}|Send, {Tab}|Send, 43|Send, {Tab}|Send, {Tab}|Send, 48|Send, {F3}</v>
      </c>
      <c r="Q23" t="str">
        <f ca="1">IFERROR("Sleep, "&amp;Tabela2[[#This Row],[Delay2]]&amp;"|Send, {Down}|Send, "&amp;SUBSTITUTE(SUBSTITUTE(Tabela2[[#This Row],[Shape]],"+","{+}")," ","")&amp;"|Send, {Tab}|Send, {Tab}|Send, {Tab}|Send, {Tab}|Send, "&amp;Tabela2[[#This Row],[Brand (Reference)]]&amp;"|Send, {Tab}|Send, {Tab}|Send, {Tab}|"&amp;IF(Tabela2[[#This Row],[Brand Type]]="Normal","","Send, "&amp;Tabela2[[#This Row],[Add-On]]&amp;"|")&amp;"Send, {Tab}|Send, {Tab}|Send, {Tab}|Send, {Tab}|Send, {Tab}|Send, {Tab}|Send, "&amp;SUBSTITUTE(Tabela2[[#This Row],[Qnt 1 (Reference)]],".",",")&amp;"|Send, {Tab}|Send, {Tab}|Send, "&amp;SUBSTITUTE(Tabela2[[#This Row],[Qnt 2 (Reference)]],".",",")&amp;"|Send, {F3}","")</f>
        <v>Sleep, 2500|Send, {Down}|Send, D252X4,5A30|Send, {Tab}|Send, {Tab}|Send, {Tab}|Send, {Tab}|Send, SINDOFORM K40-US|Send, {Tab}|Send, {Tab}|Send, {Tab}|Send, {Tab}|Send, {Tab}|Send, {Tab}|Send, {Tab}|Send, {Tab}|Send, {Tab}|Send, 43|Send, {Tab}|Send, {Tab}|Send, 48|Send, {F3}</v>
      </c>
      <c r="R23" t="str">
        <f ca="1">IFERROR(IF(Tabela2[[#This Row],[Item (Reference)]]="","",IF(Tabela2[[#This Row],[Shape]]="-",Tabela2[[#This Row],[Reference2]],Tabela2[[#This Row],[Reference3]])),"")</f>
        <v>Sleep, 2500|Send, {Down}|Send, D252X4,5A30|Send, {Tab}|Send, {Tab}|Send, {Tab}|Send, {Tab}|Send, SINDOFORM K40-US|Send, {Tab}|Send, {Tab}|Send, {Tab}|Send, {Tab}|Send, {Tab}|Send, {Tab}|Send, {Tab}|Send, {Tab}|Send, {Tab}|Send, 43|Send, {Tab}|Send, {Tab}|Send, 48|Send, {F3}</v>
      </c>
      <c r="S23" t="str">
        <f ca="1">IFERROR(IF(Tabela2[[#This Row],[State]]="Automatico",Tabela2[[#This Row],[Reference1]]&amp;"|"&amp;Tabela2[[#This Row],[Reference4]],""),"")</f>
        <v>Sleep, 2500|Send, ^{Left}|Send, 220|Send, ^{Right}|Send, MAT_KONFIG|Send, {Enter}|Sleep, 2500|Send, {Down}|Send, D252X4,5A30|Send, {Tab}|Send, {Tab}|Send, {Tab}|Send, {Tab}|Send, SINDOFORM K40-US|Send, {Tab}|Send, {Tab}|Send, {Tab}|Send, {Tab}|Send, {Tab}|Send, {Tab}|Send, {Tab}|Send, {Tab}|Send, {Tab}|Send, 43|Send, {Tab}|Send, {Tab}|Send, 48|Send, {F3}</v>
      </c>
    </row>
    <row r="24" spans="1:19">
      <c r="A24" cm="1">
        <f t="array" ref="A24">IFERROR(IF(Tabela2[[#This Row],[State]]="Automatico",IF(Tabela2[[#This Row],[Shape]]="","",(ROW()-1)*10),INDEX(Tabela2[[#All],[Item (Reference)]],ROW()-1)),"")</f>
        <v>230</v>
      </c>
      <c r="B24" s="633">
        <f t="shared" si="1"/>
        <v>230</v>
      </c>
      <c r="C24" s="633" t="str">
        <f>IFERROR(IF(Tabela2[[#This Row],[Shape]]="","Automatico",IF(_xlfn.XLOOKUP(Tabela2[[#This Row],[Brand]],BRANDS[Brand],BRANDS[State])="Manual","Manual",IF(Tabela2[[#This Row],[Shape]]="-","Automatico",IF(_xlfn.XLOOKUP(Tabela2[[#This Row],[Shape]],SHAPES[Shape],SHAPES[State])="Manual","Manual","Automatico")))),"")</f>
        <v>Automatico</v>
      </c>
      <c r="D24" s="633" t="str">
        <f>IFERROR(IF(Tabela2[[#This Row],[Shape]]="","Normal",IF(_xlfn.XLOOKUP(Tabela2[[#This Row],[Brand]],BRANDS[Brand],BRANDS[Brand Type])="","Normal",_xlfn.XLOOKUP(Tabela2[[#This Row],[Brand]],BRANDS[Brand],BRANDS[Brand Type]))),"")</f>
        <v>Normal</v>
      </c>
      <c r="E24" s="633" t="s">
        <v>2296</v>
      </c>
      <c r="F24" s="635" t="s">
        <v>2002</v>
      </c>
      <c r="G24" s="633">
        <v>280</v>
      </c>
      <c r="H24" s="636">
        <v>294</v>
      </c>
      <c r="I24">
        <f>IFERROR(IF(Tabela2[[#This Row],[Shape]]="","",IF(Tabela2[[#This Row],[Shape]]="-",Tabela2[[#This Row],[Qnt 1]]/1000,Tabela2[[#This Row],[Qnt 1]])),"")</f>
        <v>280</v>
      </c>
      <c r="J24">
        <f>IFERROR(IF(Tabela2[[#This Row],[Shape]]="","",IF(Tabela2[[#This Row],[Shape]]="-",Tabela2[[#This Row],[Qnt 2]]/1000,Tabela2[[#This Row],[Qnt 2]])),"")</f>
        <v>294</v>
      </c>
      <c r="K24" t="str" cm="1">
        <f t="array" aca="1" ref="K24" ca="1">IFERROR(IF(Tabela2[[#This Row],[Brand Type]]="Normal",Tabela2[[#This Row],[Brand]],_xlfn.CONCAT(MID(RIGHT(_xlfn.CONCAT(MID(Tabela2[[#This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 +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Row],[Brand]]))),1)),1)))-ROW(INDIRECT("1:" &amp;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f>
        <v>SINDOFORM K40-US</v>
      </c>
      <c r="L24" t="str" cm="1">
        <f t="array" aca="1" ref="L24" ca="1">IFERROR(IF(Tabela2[[#This Row],[Brand Type]]="Normal","",_xlfn.CONCAT(MID(LEFT(_xlfn.CONCAT(MID(Tabela2[[#This Row],[Brand]],1 + LEN(Tabela2[[#This Row],[Brand]])-ROW(INDIRECT("1:" &amp; LEN(Tabela2[[#This Row],[Brand]]))),1)),SEARCH(" ",_xlfn.CONCAT(MID(Tabela2[[#This Row],[Brand]],1 + LEN(Tabela2[[#This Row],[Brand]])-ROW(INDIRECT("1:" &amp; LEN(Tabela2[[#This Row],[Brand]]))),1)),1)-1),1 + LEN(LEFT(_xlfn.CONCAT(MID(Tabela2[[#This Row],[Brand]],1 + LEN(Tabela2[[#This Row],[Brand]])-ROW(INDIRECT("1:" &amp; LEN(Tabela2[[#This Row],[Brand]]))),1)),SEARCH(" ",_xlfn.CONCAT(MID(Tabela2[[#This Row],[Brand]],1 + LEN(Tabela2[[#This Row],[Brand]])-ROW(INDIRECT("1:" &amp; LEN(Tabela2[[#This Row],[Brand]]))),1)),1)-1))-ROW(INDIRECT("1:" &amp; LEN(LEFT(_xlfn.CONCAT(MID(Tabela2[[#This Row],[Brand]],1 + LEN(Tabela2[[#This Row],[Brand]])-ROW(INDIRECT("1:" &amp; LEN(Tabela2[[#This Row],[Brand]]))),1)),SEARCH(" ",_xlfn.CONCAT(MID(Tabela2[[#This Row],[Brand]],1 + LEN(Tabela2[[#This Row],[Brand]])-ROW(INDIRECT("1:" &amp; LEN(Tabela2[[#This Row],[Brand]]))),1)),1)-1)))),1))),"")</f>
        <v/>
      </c>
      <c r="M24">
        <f>IFERROR(IF(SAP_FINAL!$C$11="Office",2000,IF(SAP_FINAL!$C$11="VPN",3500,5000)),"")</f>
        <v>2000</v>
      </c>
      <c r="N24">
        <f>IFERROR(IF(SAP_FINAL!$C$11="Office",2500,IF(SAP_FINAL!$C$11="VPN",4000,5000)),"")</f>
        <v>2500</v>
      </c>
      <c r="O24" t="str" cm="1">
        <f t="array" ref="O24">IFERROR(IF(ROW(Tabela2[[#This Row],[Brand]])=2,"Send, "&amp;Tabela2[[#This Row],[Item]]&amp;"|Send, ^{Right}|Send, ^{Right}|Send, ^{Right}|Send, " &amp;LEFT(TRIM(Tabela2[[#This Row],[Brand]]),38)&amp;"|Send, {Enter}",IF(Tabela2[[#This Row],[Item (Reference)]]&lt;&gt;"",IF(INDEX(Tabela2[[#All],[Item (Reference)]],ROW()-1)="",IF(Tabela2[[#This Row],[Shape]]="","Sleep, "&amp;Tabela2[[#This Row],[Delay2]]&amp;"|Send, ^{Left}|Send, "&amp;Tabela2[[#This Row],[Item]]&amp;"|Send, ^{Right}|Send, ^{Right}|Send, ^{Right}|Send, "&amp;LEFT(TRIM(Tabela2[[#This Row],[Brand]]),38)&amp;"|Send, {Enter}","Sleep, "&amp;Tabela2[[#This Row],[Delay1]]&amp;"|Send, ^{Left}|Send, "&amp;Tabela2[[#This Row],[Item]]&amp;"|Send, ^{Right}|Send, MAT_KONFIG|Send, {Enter}"),"Sleep, "&amp;Tabela2[[#This Row],[Delay2]]&amp;"|Send, ^{Left}|Send, "&amp;Tabela2[[#This Row],[Item]]&amp;"|Send, ^{Right}|Send, MAT_KONFIG|Send, {Enter}"),"Sleep, "&amp;Tabela2[[#This Row],[Delay2]]&amp;"|Send, ^{Left}|Send, "&amp;Tabela2[[#This Row],[Item]]&amp;"|Send, ^{Right}|Send, ^{Right}|Send, ^{Right}|Send, "&amp;LEFT(TRIM(Tabela2[[#This Row],[Brand]]),38)&amp;"|Send, {Enter}")),"")</f>
        <v>Sleep, 2500|Send, ^{Left}|Send, 230|Send, ^{Right}|Send, MAT_KONFIG|Send, {Enter}</v>
      </c>
      <c r="P24" t="str">
        <f>IFERROR("Sleep, "&amp;Tabela2[[#This Row],[Delay2]]&amp;"|Send, U|Send, {Tab}|Send, {Tab}|Send, {Tab}|Send, {Tab}|Send, {Tab}|Send, {Tab}|Send, "&amp;TRIM(Tabela2[[#This Row],[Brand]])&amp;"|Send, {Tab}|Send, {Tab}|Send, {Tab}|Send, {Tab}|Send, {Tab}|Send, {Tab}|Send, {Tab}|Send, {Tab}|Send, {Tab}|Send, "&amp;SUBSTITUTE(Tabela2[[#This Row],[Qnt 1 (Reference)]],".",",")&amp;"|Send, {Tab}|Send, {Tab}|Send, "&amp;SUBSTITUTE(Tabela2[[#This Row],[Qnt 2 (Reference)]],".",",")&amp;"|Send, {F3}","")</f>
        <v>Sleep, 2500|Send, U|Send, {Tab}|Send, {Tab}|Send, {Tab}|Send, {Tab}|Send, {Tab}|Send, {Tab}|Send, SINDOFORM K40-US|Send, {Tab}|Send, {Tab}|Send, {Tab}|Send, {Tab}|Send, {Tab}|Send, {Tab}|Send, {Tab}|Send, {Tab}|Send, {Tab}|Send, 280|Send, {Tab}|Send, {Tab}|Send, 294|Send, {F3}</v>
      </c>
      <c r="Q24" t="str">
        <f ca="1">IFERROR("Sleep, "&amp;Tabela2[[#This Row],[Delay2]]&amp;"|Send, {Down}|Send, "&amp;SUBSTITUTE(SUBSTITUTE(Tabela2[[#This Row],[Shape]],"+","{+}")," ","")&amp;"|Send, {Tab}|Send, {Tab}|Send, {Tab}|Send, {Tab}|Send, "&amp;Tabela2[[#This Row],[Brand (Reference)]]&amp;"|Send, {Tab}|Send, {Tab}|Send, {Tab}|"&amp;IF(Tabela2[[#This Row],[Brand Type]]="Normal","","Send, "&amp;Tabela2[[#This Row],[Add-On]]&amp;"|")&amp;"Send, {Tab}|Send, {Tab}|Send, {Tab}|Send, {Tab}|Send, {Tab}|Send, {Tab}|Send, "&amp;SUBSTITUTE(Tabela2[[#This Row],[Qnt 1 (Reference)]],".",",")&amp;"|Send, {Tab}|Send, {Tab}|Send, "&amp;SUBSTITUTE(Tabela2[[#This Row],[Qnt 2 (Reference)]],".",",")&amp;"|Send, {F3}","")</f>
        <v>Sleep, 2500|Send, {Down}|Send, K12X6-51/2X100|Send, {Tab}|Send, {Tab}|Send, {Tab}|Send, {Tab}|Send, SINDOFORM K40-US|Send, {Tab}|Send, {Tab}|Send, {Tab}|Send, {Tab}|Send, {Tab}|Send, {Tab}|Send, {Tab}|Send, {Tab}|Send, {Tab}|Send, 280|Send, {Tab}|Send, {Tab}|Send, 294|Send, {F3}</v>
      </c>
      <c r="R24" t="str">
        <f ca="1">IFERROR(IF(Tabela2[[#This Row],[Item (Reference)]]="","",IF(Tabela2[[#This Row],[Shape]]="-",Tabela2[[#This Row],[Reference2]],Tabela2[[#This Row],[Reference3]])),"")</f>
        <v>Sleep, 2500|Send, {Down}|Send, K12X6-51/2X100|Send, {Tab}|Send, {Tab}|Send, {Tab}|Send, {Tab}|Send, SINDOFORM K40-US|Send, {Tab}|Send, {Tab}|Send, {Tab}|Send, {Tab}|Send, {Tab}|Send, {Tab}|Send, {Tab}|Send, {Tab}|Send, {Tab}|Send, 280|Send, {Tab}|Send, {Tab}|Send, 294|Send, {F3}</v>
      </c>
      <c r="S24" t="str">
        <f ca="1">IFERROR(IF(Tabela2[[#This Row],[State]]="Automatico",Tabela2[[#This Row],[Reference1]]&amp;"|"&amp;Tabela2[[#This Row],[Reference4]],""),"")</f>
        <v>Sleep, 2500|Send, ^{Left}|Send, 230|Send, ^{Right}|Send, MAT_KONFIG|Send, {Enter}|Sleep, 2500|Send, {Down}|Send, K12X6-51/2X100|Send, {Tab}|Send, {Tab}|Send, {Tab}|Send, {Tab}|Send, SINDOFORM K40-US|Send, {Tab}|Send, {Tab}|Send, {Tab}|Send, {Tab}|Send, {Tab}|Send, {Tab}|Send, {Tab}|Send, {Tab}|Send, {Tab}|Send, 280|Send, {Tab}|Send, {Tab}|Send, 294|Send, {F3}</v>
      </c>
    </row>
    <row r="25" spans="1:19">
      <c r="A25" cm="1">
        <f t="array" ref="A25">IFERROR(IF(Tabela2[[#This Row],[State]]="Automatico",IF(Tabela2[[#This Row],[Shape]]="","",(ROW()-1)*10),INDEX(Tabela2[[#All],[Item (Reference)]],ROW()-1)),"")</f>
        <v>240</v>
      </c>
      <c r="B25" s="633">
        <f t="shared" si="1"/>
        <v>240</v>
      </c>
      <c r="C25" s="633" t="str">
        <f>IFERROR(IF(Tabela2[[#This Row],[Shape]]="","Automatico",IF(_xlfn.XLOOKUP(Tabela2[[#This Row],[Brand]],BRANDS[Brand],BRANDS[State])="Manual","Manual",IF(Tabela2[[#This Row],[Shape]]="-","Automatico",IF(_xlfn.XLOOKUP(Tabela2[[#This Row],[Shape]],SHAPES[Shape],SHAPES[State])="Manual","Manual","Automatico")))),"")</f>
        <v>Automatico</v>
      </c>
      <c r="D25" s="633" t="str">
        <f>IFERROR(IF(Tabela2[[#This Row],[Shape]]="","Normal",IF(_xlfn.XLOOKUP(Tabela2[[#This Row],[Brand]],BRANDS[Brand],BRANDS[Brand Type])="","Normal",_xlfn.XLOOKUP(Tabela2[[#This Row],[Brand]],BRANDS[Brand],BRANDS[Brand Type]))),"")</f>
        <v>Normal</v>
      </c>
      <c r="E25" s="633" t="s">
        <v>2296</v>
      </c>
      <c r="F25" s="635" t="s">
        <v>2003</v>
      </c>
      <c r="G25" s="633">
        <v>734</v>
      </c>
      <c r="H25" s="636">
        <v>756</v>
      </c>
      <c r="I25">
        <f>IFERROR(IF(Tabela2[[#This Row],[Shape]]="","",IF(Tabela2[[#This Row],[Shape]]="-",Tabela2[[#This Row],[Qnt 1]]/1000,Tabela2[[#This Row],[Qnt 1]])),"")</f>
        <v>734</v>
      </c>
      <c r="J25">
        <f>IFERROR(IF(Tabela2[[#This Row],[Shape]]="","",IF(Tabela2[[#This Row],[Shape]]="-",Tabela2[[#This Row],[Qnt 2]]/1000,Tabela2[[#This Row],[Qnt 2]])),"")</f>
        <v>756</v>
      </c>
      <c r="K25" t="str" cm="1">
        <f t="array" aca="1" ref="K25" ca="1">IFERROR(IF(Tabela2[[#This Row],[Brand Type]]="Normal",Tabela2[[#This Row],[Brand]],_xlfn.CONCAT(MID(RIGHT(_xlfn.CONCAT(MID(Tabela2[[#This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 +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Row],[Brand]]))),1)),1)))-ROW(INDIRECT("1:" &amp;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f>
        <v>SINDOFORM K40-US</v>
      </c>
      <c r="L25" t="str" cm="1">
        <f t="array" aca="1" ref="L25" ca="1">IFERROR(IF(Tabela2[[#This Row],[Brand Type]]="Normal","",_xlfn.CONCAT(MID(LEFT(_xlfn.CONCAT(MID(Tabela2[[#This Row],[Brand]],1 + LEN(Tabela2[[#This Row],[Brand]])-ROW(INDIRECT("1:" &amp; LEN(Tabela2[[#This Row],[Brand]]))),1)),SEARCH(" ",_xlfn.CONCAT(MID(Tabela2[[#This Row],[Brand]],1 + LEN(Tabela2[[#This Row],[Brand]])-ROW(INDIRECT("1:" &amp; LEN(Tabela2[[#This Row],[Brand]]))),1)),1)-1),1 + LEN(LEFT(_xlfn.CONCAT(MID(Tabela2[[#This Row],[Brand]],1 + LEN(Tabela2[[#This Row],[Brand]])-ROW(INDIRECT("1:" &amp; LEN(Tabela2[[#This Row],[Brand]]))),1)),SEARCH(" ",_xlfn.CONCAT(MID(Tabela2[[#This Row],[Brand]],1 + LEN(Tabela2[[#This Row],[Brand]])-ROW(INDIRECT("1:" &amp; LEN(Tabela2[[#This Row],[Brand]]))),1)),1)-1))-ROW(INDIRECT("1:" &amp; LEN(LEFT(_xlfn.CONCAT(MID(Tabela2[[#This Row],[Brand]],1 + LEN(Tabela2[[#This Row],[Brand]])-ROW(INDIRECT("1:" &amp; LEN(Tabela2[[#This Row],[Brand]]))),1)),SEARCH(" ",_xlfn.CONCAT(MID(Tabela2[[#This Row],[Brand]],1 + LEN(Tabela2[[#This Row],[Brand]])-ROW(INDIRECT("1:" &amp; LEN(Tabela2[[#This Row],[Brand]]))),1)),1)-1)))),1))),"")</f>
        <v/>
      </c>
      <c r="M25">
        <f>IFERROR(IF(SAP_FINAL!$C$11="Office",2000,IF(SAP_FINAL!$C$11="VPN",3500,5000)),"")</f>
        <v>2000</v>
      </c>
      <c r="N25">
        <f>IFERROR(IF(SAP_FINAL!$C$11="Office",2500,IF(SAP_FINAL!$C$11="VPN",4000,5000)),"")</f>
        <v>2500</v>
      </c>
      <c r="O25" t="str" cm="1">
        <f t="array" ref="O25">IFERROR(IF(ROW(Tabela2[[#This Row],[Brand]])=2,"Send, "&amp;Tabela2[[#This Row],[Item]]&amp;"|Send, ^{Right}|Send, ^{Right}|Send, ^{Right}|Send, " &amp;LEFT(TRIM(Tabela2[[#This Row],[Brand]]),38)&amp;"|Send, {Enter}",IF(Tabela2[[#This Row],[Item (Reference)]]&lt;&gt;"",IF(INDEX(Tabela2[[#All],[Item (Reference)]],ROW()-1)="",IF(Tabela2[[#This Row],[Shape]]="","Sleep, "&amp;Tabela2[[#This Row],[Delay2]]&amp;"|Send, ^{Left}|Send, "&amp;Tabela2[[#This Row],[Item]]&amp;"|Send, ^{Right}|Send, ^{Right}|Send, ^{Right}|Send, "&amp;LEFT(TRIM(Tabela2[[#This Row],[Brand]]),38)&amp;"|Send, {Enter}","Sleep, "&amp;Tabela2[[#This Row],[Delay1]]&amp;"|Send, ^{Left}|Send, "&amp;Tabela2[[#This Row],[Item]]&amp;"|Send, ^{Right}|Send, MAT_KONFIG|Send, {Enter}"),"Sleep, "&amp;Tabela2[[#This Row],[Delay2]]&amp;"|Send, ^{Left}|Send, "&amp;Tabela2[[#This Row],[Item]]&amp;"|Send, ^{Right}|Send, MAT_KONFIG|Send, {Enter}"),"Sleep, "&amp;Tabela2[[#This Row],[Delay2]]&amp;"|Send, ^{Left}|Send, "&amp;Tabela2[[#This Row],[Item]]&amp;"|Send, ^{Right}|Send, ^{Right}|Send, ^{Right}|Send, "&amp;LEFT(TRIM(Tabela2[[#This Row],[Brand]]),38)&amp;"|Send, {Enter}")),"")</f>
        <v>Sleep, 2500|Send, ^{Left}|Send, 240|Send, ^{Right}|Send, MAT_KONFIG|Send, {Enter}</v>
      </c>
      <c r="P25" t="str">
        <f>IFERROR("Sleep, "&amp;Tabela2[[#This Row],[Delay2]]&amp;"|Send, U|Send, {Tab}|Send, {Tab}|Send, {Tab}|Send, {Tab}|Send, {Tab}|Send, {Tab}|Send, "&amp;TRIM(Tabela2[[#This Row],[Brand]])&amp;"|Send, {Tab}|Send, {Tab}|Send, {Tab}|Send, {Tab}|Send, {Tab}|Send, {Tab}|Send, {Tab}|Send, {Tab}|Send, {Tab}|Send, "&amp;SUBSTITUTE(Tabela2[[#This Row],[Qnt 1 (Reference)]],".",",")&amp;"|Send, {Tab}|Send, {Tab}|Send, "&amp;SUBSTITUTE(Tabela2[[#This Row],[Qnt 2 (Reference)]],".",",")&amp;"|Send, {F3}","")</f>
        <v>Sleep, 2500|Send, U|Send, {Tab}|Send, {Tab}|Send, {Tab}|Send, {Tab}|Send, {Tab}|Send, {Tab}|Send, SINDOFORM K40-US|Send, {Tab}|Send, {Tab}|Send, {Tab}|Send, {Tab}|Send, {Tab}|Send, {Tab}|Send, {Tab}|Send, {Tab}|Send, {Tab}|Send, 734|Send, {Tab}|Send, {Tab}|Send, 756|Send, {F3}</v>
      </c>
      <c r="Q25" t="str">
        <f ca="1">IFERROR("Sleep, "&amp;Tabela2[[#This Row],[Delay2]]&amp;"|Send, {Down}|Send, "&amp;SUBSTITUTE(SUBSTITUTE(Tabela2[[#This Row],[Shape]],"+","{+}")," ","")&amp;"|Send, {Tab}|Send, {Tab}|Send, {Tab}|Send, {Tab}|Send, "&amp;Tabela2[[#This Row],[Brand (Reference)]]&amp;"|Send, {Tab}|Send, {Tab}|Send, {Tab}|"&amp;IF(Tabela2[[#This Row],[Brand Type]]="Normal","","Send, "&amp;Tabela2[[#This Row],[Add-On]]&amp;"|")&amp;"Send, {Tab}|Send, {Tab}|Send, {Tab}|Send, {Tab}|Send, {Tab}|Send, {Tab}|Send, "&amp;SUBSTITUTE(Tabela2[[#This Row],[Qnt 1 (Reference)]],".",",")&amp;"|Send, {Tab}|Send, {Tab}|Send, "&amp;SUBSTITUTE(Tabela2[[#This Row],[Qnt 2 (Reference)]],".",",")&amp;"|Send, {F3}","")</f>
        <v>Sleep, 2500|Send, {Down}|Send, K12X6-5X100|Send, {Tab}|Send, {Tab}|Send, {Tab}|Send, {Tab}|Send, SINDOFORM K40-US|Send, {Tab}|Send, {Tab}|Send, {Tab}|Send, {Tab}|Send, {Tab}|Send, {Tab}|Send, {Tab}|Send, {Tab}|Send, {Tab}|Send, 734|Send, {Tab}|Send, {Tab}|Send, 756|Send, {F3}</v>
      </c>
      <c r="R25" t="str">
        <f ca="1">IFERROR(IF(Tabela2[[#This Row],[Item (Reference)]]="","",IF(Tabela2[[#This Row],[Shape]]="-",Tabela2[[#This Row],[Reference2]],Tabela2[[#This Row],[Reference3]])),"")</f>
        <v>Sleep, 2500|Send, {Down}|Send, K12X6-5X100|Send, {Tab}|Send, {Tab}|Send, {Tab}|Send, {Tab}|Send, SINDOFORM K40-US|Send, {Tab}|Send, {Tab}|Send, {Tab}|Send, {Tab}|Send, {Tab}|Send, {Tab}|Send, {Tab}|Send, {Tab}|Send, {Tab}|Send, 734|Send, {Tab}|Send, {Tab}|Send, 756|Send, {F3}</v>
      </c>
      <c r="S25" t="str">
        <f ca="1">IFERROR(IF(Tabela2[[#This Row],[State]]="Automatico",Tabela2[[#This Row],[Reference1]]&amp;"|"&amp;Tabela2[[#This Row],[Reference4]],""),"")</f>
        <v>Sleep, 2500|Send, ^{Left}|Send, 240|Send, ^{Right}|Send, MAT_KONFIG|Send, {Enter}|Sleep, 2500|Send, {Down}|Send, K12X6-5X100|Send, {Tab}|Send, {Tab}|Send, {Tab}|Send, {Tab}|Send, SINDOFORM K40-US|Send, {Tab}|Send, {Tab}|Send, {Tab}|Send, {Tab}|Send, {Tab}|Send, {Tab}|Send, {Tab}|Send, {Tab}|Send, {Tab}|Send, 734|Send, {Tab}|Send, {Tab}|Send, 756|Send, {F3}</v>
      </c>
    </row>
    <row r="26" spans="1:19">
      <c r="A26" cm="1">
        <f t="array" ref="A26">IFERROR(IF(Tabela2[[#This Row],[State]]="Automatico",IF(Tabela2[[#This Row],[Shape]]="","",(ROW()-1)*10),INDEX(Tabela2[[#All],[Item (Reference)]],ROW()-1)),"")</f>
        <v>250</v>
      </c>
      <c r="B26" s="633">
        <f t="shared" si="1"/>
        <v>250</v>
      </c>
      <c r="C26" s="633" t="str">
        <f>IFERROR(IF(Tabela2[[#This Row],[Shape]]="","Automatico",IF(_xlfn.XLOOKUP(Tabela2[[#This Row],[Brand]],BRANDS[Brand],BRANDS[State])="Manual","Manual",IF(Tabela2[[#This Row],[Shape]]="-","Automatico",IF(_xlfn.XLOOKUP(Tabela2[[#This Row],[Shape]],SHAPES[Shape],SHAPES[State])="Manual","Manual","Automatico")))),"")</f>
        <v>Automatico</v>
      </c>
      <c r="D26" s="633" t="str">
        <f>IFERROR(IF(Tabela2[[#This Row],[Shape]]="","Normal",IF(_xlfn.XLOOKUP(Tabela2[[#This Row],[Brand]],BRANDS[Brand],BRANDS[Brand Type])="","Normal",_xlfn.XLOOKUP(Tabela2[[#This Row],[Brand]],BRANDS[Brand],BRANDS[Brand Type]))),"")</f>
        <v>Normal</v>
      </c>
      <c r="E26" s="633" t="s">
        <v>2296</v>
      </c>
      <c r="F26" s="635" t="s">
        <v>2011</v>
      </c>
      <c r="G26" s="633">
        <v>26</v>
      </c>
      <c r="H26" s="636">
        <v>29</v>
      </c>
      <c r="I26">
        <f>IFERROR(IF(Tabela2[[#This Row],[Shape]]="","",IF(Tabela2[[#This Row],[Shape]]="-",Tabela2[[#This Row],[Qnt 1]]/1000,Tabela2[[#This Row],[Qnt 1]])),"")</f>
        <v>26</v>
      </c>
      <c r="J26">
        <f>IFERROR(IF(Tabela2[[#This Row],[Shape]]="","",IF(Tabela2[[#This Row],[Shape]]="-",Tabela2[[#This Row],[Qnt 2]]/1000,Tabela2[[#This Row],[Qnt 2]])),"")</f>
        <v>29</v>
      </c>
      <c r="K26" t="str" cm="1">
        <f t="array" aca="1" ref="K26" ca="1">IFERROR(IF(Tabela2[[#This Row],[Brand Type]]="Normal",Tabela2[[#This Row],[Brand]],_xlfn.CONCAT(MID(RIGHT(_xlfn.CONCAT(MID(Tabela2[[#This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 +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Row],[Brand]]))),1)),1)))-ROW(INDIRECT("1:" &amp;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f>
        <v>SINDOFORM K40-US</v>
      </c>
      <c r="L26" t="str" cm="1">
        <f t="array" aca="1" ref="L26" ca="1">IFERROR(IF(Tabela2[[#This Row],[Brand Type]]="Normal","",_xlfn.CONCAT(MID(LEFT(_xlfn.CONCAT(MID(Tabela2[[#This Row],[Brand]],1 + LEN(Tabela2[[#This Row],[Brand]])-ROW(INDIRECT("1:" &amp; LEN(Tabela2[[#This Row],[Brand]]))),1)),SEARCH(" ",_xlfn.CONCAT(MID(Tabela2[[#This Row],[Brand]],1 + LEN(Tabela2[[#This Row],[Brand]])-ROW(INDIRECT("1:" &amp; LEN(Tabela2[[#This Row],[Brand]]))),1)),1)-1),1 + LEN(LEFT(_xlfn.CONCAT(MID(Tabela2[[#This Row],[Brand]],1 + LEN(Tabela2[[#This Row],[Brand]])-ROW(INDIRECT("1:" &amp; LEN(Tabela2[[#This Row],[Brand]]))),1)),SEARCH(" ",_xlfn.CONCAT(MID(Tabela2[[#This Row],[Brand]],1 + LEN(Tabela2[[#This Row],[Brand]])-ROW(INDIRECT("1:" &amp; LEN(Tabela2[[#This Row],[Brand]]))),1)),1)-1))-ROW(INDIRECT("1:" &amp; LEN(LEFT(_xlfn.CONCAT(MID(Tabela2[[#This Row],[Brand]],1 + LEN(Tabela2[[#This Row],[Brand]])-ROW(INDIRECT("1:" &amp; LEN(Tabela2[[#This Row],[Brand]]))),1)),SEARCH(" ",_xlfn.CONCAT(MID(Tabela2[[#This Row],[Brand]],1 + LEN(Tabela2[[#This Row],[Brand]])-ROW(INDIRECT("1:" &amp; LEN(Tabela2[[#This Row],[Brand]]))),1)),1)-1)))),1))),"")</f>
        <v/>
      </c>
      <c r="M26">
        <f>IFERROR(IF(SAP_FINAL!$C$11="Office",2000,IF(SAP_FINAL!$C$11="VPN",3500,5000)),"")</f>
        <v>2000</v>
      </c>
      <c r="N26">
        <f>IFERROR(IF(SAP_FINAL!$C$11="Office",2500,IF(SAP_FINAL!$C$11="VPN",4000,5000)),"")</f>
        <v>2500</v>
      </c>
      <c r="O26" t="str" cm="1">
        <f t="array" ref="O26">IFERROR(IF(ROW(Tabela2[[#This Row],[Brand]])=2,"Send, "&amp;Tabela2[[#This Row],[Item]]&amp;"|Send, ^{Right}|Send, ^{Right}|Send, ^{Right}|Send, " &amp;LEFT(TRIM(Tabela2[[#This Row],[Brand]]),38)&amp;"|Send, {Enter}",IF(Tabela2[[#This Row],[Item (Reference)]]&lt;&gt;"",IF(INDEX(Tabela2[[#All],[Item (Reference)]],ROW()-1)="",IF(Tabela2[[#This Row],[Shape]]="","Sleep, "&amp;Tabela2[[#This Row],[Delay2]]&amp;"|Send, ^{Left}|Send, "&amp;Tabela2[[#This Row],[Item]]&amp;"|Send, ^{Right}|Send, ^{Right}|Send, ^{Right}|Send, "&amp;LEFT(TRIM(Tabela2[[#This Row],[Brand]]),38)&amp;"|Send, {Enter}","Sleep, "&amp;Tabela2[[#This Row],[Delay1]]&amp;"|Send, ^{Left}|Send, "&amp;Tabela2[[#This Row],[Item]]&amp;"|Send, ^{Right}|Send, MAT_KONFIG|Send, {Enter}"),"Sleep, "&amp;Tabela2[[#This Row],[Delay2]]&amp;"|Send, ^{Left}|Send, "&amp;Tabela2[[#This Row],[Item]]&amp;"|Send, ^{Right}|Send, MAT_KONFIG|Send, {Enter}"),"Sleep, "&amp;Tabela2[[#This Row],[Delay2]]&amp;"|Send, ^{Left}|Send, "&amp;Tabela2[[#This Row],[Item]]&amp;"|Send, ^{Right}|Send, ^{Right}|Send, ^{Right}|Send, "&amp;LEFT(TRIM(Tabela2[[#This Row],[Brand]]),38)&amp;"|Send, {Enter}")),"")</f>
        <v>Sleep, 2500|Send, ^{Left}|Send, 250|Send, ^{Right}|Send, MAT_KONFIG|Send, {Enter}</v>
      </c>
      <c r="P26" t="str">
        <f>IFERROR("Sleep, "&amp;Tabela2[[#This Row],[Delay2]]&amp;"|Send, U|Send, {Tab}|Send, {Tab}|Send, {Tab}|Send, {Tab}|Send, {Tab}|Send, {Tab}|Send, "&amp;TRIM(Tabela2[[#This Row],[Brand]])&amp;"|Send, {Tab}|Send, {Tab}|Send, {Tab}|Send, {Tab}|Send, {Tab}|Send, {Tab}|Send, {Tab}|Send, {Tab}|Send, {Tab}|Send, "&amp;SUBSTITUTE(Tabela2[[#This Row],[Qnt 1 (Reference)]],".",",")&amp;"|Send, {Tab}|Send, {Tab}|Send, "&amp;SUBSTITUTE(Tabela2[[#This Row],[Qnt 2 (Reference)]],".",",")&amp;"|Send, {F3}","")</f>
        <v>Sleep, 2500|Send, U|Send, {Tab}|Send, {Tab}|Send, {Tab}|Send, {Tab}|Send, {Tab}|Send, {Tab}|Send, SINDOFORM K40-US|Send, {Tab}|Send, {Tab}|Send, {Tab}|Send, {Tab}|Send, {Tab}|Send, {Tab}|Send, {Tab}|Send, {Tab}|Send, {Tab}|Send, 26|Send, {Tab}|Send, {Tab}|Send, 29|Send, {F3}</v>
      </c>
      <c r="Q26" t="str">
        <f ca="1">IFERROR("Sleep, "&amp;Tabela2[[#This Row],[Delay2]]&amp;"|Send, {Down}|Send, "&amp;SUBSTITUTE(SUBSTITUTE(Tabela2[[#This Row],[Shape]],"+","{+}")," ","")&amp;"|Send, {Tab}|Send, {Tab}|Send, {Tab}|Send, {Tab}|Send, "&amp;Tabela2[[#This Row],[Brand (Reference)]]&amp;"|Send, {Tab}|Send, {Tab}|Send, {Tab}|"&amp;IF(Tabela2[[#This Row],[Brand Type]]="Normal","","Send, "&amp;Tabela2[[#This Row],[Add-On]]&amp;"|")&amp;"Send, {Tab}|Send, {Tab}|Send, {Tab}|Send, {Tab}|Send, {Tab}|Send, {Tab}|Send, "&amp;SUBSTITUTE(Tabela2[[#This Row],[Qnt 1 (Reference)]],".",",")&amp;"|Send, {Tab}|Send, {Tab}|Send, "&amp;SUBSTITUTE(Tabela2[[#This Row],[Qnt 2 (Reference)]],".",",")&amp;"|Send, {F3}","")</f>
        <v>Sleep, 2500|Send, {Down}|Send, K15X6-4X100|Send, {Tab}|Send, {Tab}|Send, {Tab}|Send, {Tab}|Send, SINDOFORM K40-US|Send, {Tab}|Send, {Tab}|Send, {Tab}|Send, {Tab}|Send, {Tab}|Send, {Tab}|Send, {Tab}|Send, {Tab}|Send, {Tab}|Send, 26|Send, {Tab}|Send, {Tab}|Send, 29|Send, {F3}</v>
      </c>
      <c r="R26" t="str">
        <f ca="1">IFERROR(IF(Tabela2[[#This Row],[Item (Reference)]]="","",IF(Tabela2[[#This Row],[Shape]]="-",Tabela2[[#This Row],[Reference2]],Tabela2[[#This Row],[Reference3]])),"")</f>
        <v>Sleep, 2500|Send, {Down}|Send, K15X6-4X100|Send, {Tab}|Send, {Tab}|Send, {Tab}|Send, {Tab}|Send, SINDOFORM K40-US|Send, {Tab}|Send, {Tab}|Send, {Tab}|Send, {Tab}|Send, {Tab}|Send, {Tab}|Send, {Tab}|Send, {Tab}|Send, {Tab}|Send, 26|Send, {Tab}|Send, {Tab}|Send, 29|Send, {F3}</v>
      </c>
      <c r="S26" t="str">
        <f ca="1">IFERROR(IF(Tabela2[[#This Row],[State]]="Automatico",Tabela2[[#This Row],[Reference1]]&amp;"|"&amp;Tabela2[[#This Row],[Reference4]],""),"")</f>
        <v>Sleep, 2500|Send, ^{Left}|Send, 250|Send, ^{Right}|Send, MAT_KONFIG|Send, {Enter}|Sleep, 2500|Send, {Down}|Send, K15X6-4X100|Send, {Tab}|Send, {Tab}|Send, {Tab}|Send, {Tab}|Send, SINDOFORM K40-US|Send, {Tab}|Send, {Tab}|Send, {Tab}|Send, {Tab}|Send, {Tab}|Send, {Tab}|Send, {Tab}|Send, {Tab}|Send, {Tab}|Send, 26|Send, {Tab}|Send, {Tab}|Send, 29|Send, {F3}</v>
      </c>
    </row>
    <row r="27" spans="1:19">
      <c r="A27" cm="1">
        <f t="array" ref="A27">IFERROR(IF(Tabela2[[#This Row],[State]]="Automatico",IF(Tabela2[[#This Row],[Shape]]="","",(ROW()-1)*10),INDEX(Tabela2[[#All],[Item (Reference)]],ROW()-1)),"")</f>
        <v>260</v>
      </c>
      <c r="B27" s="633">
        <f t="shared" si="1"/>
        <v>260</v>
      </c>
      <c r="C27" s="633" t="str">
        <f>IFERROR(IF(Tabela2[[#This Row],[Shape]]="","Automatico",IF(_xlfn.XLOOKUP(Tabela2[[#This Row],[Brand]],BRANDS[Brand],BRANDS[State])="Manual","Manual",IF(Tabela2[[#This Row],[Shape]]="-","Automatico",IF(_xlfn.XLOOKUP(Tabela2[[#This Row],[Shape]],SHAPES[Shape],SHAPES[State])="Manual","Manual","Automatico")))),"")</f>
        <v>Automatico</v>
      </c>
      <c r="D27" s="633" t="str">
        <f>IFERROR(IF(Tabela2[[#This Row],[Shape]]="","Normal",IF(_xlfn.XLOOKUP(Tabela2[[#This Row],[Brand]],BRANDS[Brand],BRANDS[Brand Type])="","Normal",_xlfn.XLOOKUP(Tabela2[[#This Row],[Brand]],BRANDS[Brand],BRANDS[Brand Type]))),"")</f>
        <v>Normal</v>
      </c>
      <c r="E27" s="633" t="s">
        <v>2296</v>
      </c>
      <c r="F27" s="635" t="s">
        <v>2010</v>
      </c>
      <c r="G27" s="633">
        <v>296</v>
      </c>
      <c r="H27" s="636">
        <v>311</v>
      </c>
      <c r="I27">
        <f>IFERROR(IF(Tabela2[[#This Row],[Shape]]="","",IF(Tabela2[[#This Row],[Shape]]="-",Tabela2[[#This Row],[Qnt 1]]/1000,Tabela2[[#This Row],[Qnt 1]])),"")</f>
        <v>296</v>
      </c>
      <c r="J27">
        <f>IFERROR(IF(Tabela2[[#This Row],[Shape]]="","",IF(Tabela2[[#This Row],[Shape]]="-",Tabela2[[#This Row],[Qnt 2]]/1000,Tabela2[[#This Row],[Qnt 2]])),"")</f>
        <v>311</v>
      </c>
      <c r="K27" t="str" cm="1">
        <f t="array" aca="1" ref="K27" ca="1">IFERROR(IF(Tabela2[[#This Row],[Brand Type]]="Normal",Tabela2[[#This Row],[Brand]],_xlfn.CONCAT(MID(RIGHT(_xlfn.CONCAT(MID(Tabela2[[#This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 +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Row],[Brand]]))),1)),1)))-ROW(INDIRECT("1:" &amp;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f>
        <v>SINDOFORM K40-US</v>
      </c>
      <c r="L27" t="str" cm="1">
        <f t="array" aca="1" ref="L27" ca="1">IFERROR(IF(Tabela2[[#This Row],[Brand Type]]="Normal","",_xlfn.CONCAT(MID(LEFT(_xlfn.CONCAT(MID(Tabela2[[#This Row],[Brand]],1 + LEN(Tabela2[[#This Row],[Brand]])-ROW(INDIRECT("1:" &amp; LEN(Tabela2[[#This Row],[Brand]]))),1)),SEARCH(" ",_xlfn.CONCAT(MID(Tabela2[[#This Row],[Brand]],1 + LEN(Tabela2[[#This Row],[Brand]])-ROW(INDIRECT("1:" &amp; LEN(Tabela2[[#This Row],[Brand]]))),1)),1)-1),1 + LEN(LEFT(_xlfn.CONCAT(MID(Tabela2[[#This Row],[Brand]],1 + LEN(Tabela2[[#This Row],[Brand]])-ROW(INDIRECT("1:" &amp; LEN(Tabela2[[#This Row],[Brand]]))),1)),SEARCH(" ",_xlfn.CONCAT(MID(Tabela2[[#This Row],[Brand]],1 + LEN(Tabela2[[#This Row],[Brand]])-ROW(INDIRECT("1:" &amp; LEN(Tabela2[[#This Row],[Brand]]))),1)),1)-1))-ROW(INDIRECT("1:" &amp; LEN(LEFT(_xlfn.CONCAT(MID(Tabela2[[#This Row],[Brand]],1 + LEN(Tabela2[[#This Row],[Brand]])-ROW(INDIRECT("1:" &amp; LEN(Tabela2[[#This Row],[Brand]]))),1)),SEARCH(" ",_xlfn.CONCAT(MID(Tabela2[[#This Row],[Brand]],1 + LEN(Tabela2[[#This Row],[Brand]])-ROW(INDIRECT("1:" &amp; LEN(Tabela2[[#This Row],[Brand]]))),1)),1)-1)))),1))),"")</f>
        <v/>
      </c>
      <c r="M27">
        <f>IFERROR(IF(SAP_FINAL!$C$11="Office",2000,IF(SAP_FINAL!$C$11="VPN",3500,5000)),"")</f>
        <v>2000</v>
      </c>
      <c r="N27">
        <f>IFERROR(IF(SAP_FINAL!$C$11="Office",2500,IF(SAP_FINAL!$C$11="VPN",4000,5000)),"")</f>
        <v>2500</v>
      </c>
      <c r="O27" t="str" cm="1">
        <f t="array" ref="O27">IFERROR(IF(ROW(Tabela2[[#This Row],[Brand]])=2,"Send, "&amp;Tabela2[[#This Row],[Item]]&amp;"|Send, ^{Right}|Send, ^{Right}|Send, ^{Right}|Send, " &amp;LEFT(TRIM(Tabela2[[#This Row],[Brand]]),38)&amp;"|Send, {Enter}",IF(Tabela2[[#This Row],[Item (Reference)]]&lt;&gt;"",IF(INDEX(Tabela2[[#All],[Item (Reference)]],ROW()-1)="",IF(Tabela2[[#This Row],[Shape]]="","Sleep, "&amp;Tabela2[[#This Row],[Delay2]]&amp;"|Send, ^{Left}|Send, "&amp;Tabela2[[#This Row],[Item]]&amp;"|Send, ^{Right}|Send, ^{Right}|Send, ^{Right}|Send, "&amp;LEFT(TRIM(Tabela2[[#This Row],[Brand]]),38)&amp;"|Send, {Enter}","Sleep, "&amp;Tabela2[[#This Row],[Delay1]]&amp;"|Send, ^{Left}|Send, "&amp;Tabela2[[#This Row],[Item]]&amp;"|Send, ^{Right}|Send, MAT_KONFIG|Send, {Enter}"),"Sleep, "&amp;Tabela2[[#This Row],[Delay2]]&amp;"|Send, ^{Left}|Send, "&amp;Tabela2[[#This Row],[Item]]&amp;"|Send, ^{Right}|Send, MAT_KONFIG|Send, {Enter}"),"Sleep, "&amp;Tabela2[[#This Row],[Delay2]]&amp;"|Send, ^{Left}|Send, "&amp;Tabela2[[#This Row],[Item]]&amp;"|Send, ^{Right}|Send, ^{Right}|Send, ^{Right}|Send, "&amp;LEFT(TRIM(Tabela2[[#This Row],[Brand]]),38)&amp;"|Send, {Enter}")),"")</f>
        <v>Sleep, 2500|Send, ^{Left}|Send, 260|Send, ^{Right}|Send, MAT_KONFIG|Send, {Enter}</v>
      </c>
      <c r="P27" t="str">
        <f>IFERROR("Sleep, "&amp;Tabela2[[#This Row],[Delay2]]&amp;"|Send, U|Send, {Tab}|Send, {Tab}|Send, {Tab}|Send, {Tab}|Send, {Tab}|Send, {Tab}|Send, "&amp;TRIM(Tabela2[[#This Row],[Brand]])&amp;"|Send, {Tab}|Send, {Tab}|Send, {Tab}|Send, {Tab}|Send, {Tab}|Send, {Tab}|Send, {Tab}|Send, {Tab}|Send, {Tab}|Send, "&amp;SUBSTITUTE(Tabela2[[#This Row],[Qnt 1 (Reference)]],".",",")&amp;"|Send, {Tab}|Send, {Tab}|Send, "&amp;SUBSTITUTE(Tabela2[[#This Row],[Qnt 2 (Reference)]],".",",")&amp;"|Send, {F3}","")</f>
        <v>Sleep, 2500|Send, U|Send, {Tab}|Send, {Tab}|Send, {Tab}|Send, {Tab}|Send, {Tab}|Send, {Tab}|Send, SINDOFORM K40-US|Send, {Tab}|Send, {Tab}|Send, {Tab}|Send, {Tab}|Send, {Tab}|Send, {Tab}|Send, {Tab}|Send, {Tab}|Send, {Tab}|Send, 296|Send, {Tab}|Send, {Tab}|Send, 311|Send, {F3}</v>
      </c>
      <c r="Q27" t="str">
        <f ca="1">IFERROR("Sleep, "&amp;Tabela2[[#This Row],[Delay2]]&amp;"|Send, {Down}|Send, "&amp;SUBSTITUTE(SUBSTITUTE(Tabela2[[#This Row],[Shape]],"+","{+}")," ","")&amp;"|Send, {Tab}|Send, {Tab}|Send, {Tab}|Send, {Tab}|Send, "&amp;Tabela2[[#This Row],[Brand (Reference)]]&amp;"|Send, {Tab}|Send, {Tab}|Send, {Tab}|"&amp;IF(Tabela2[[#This Row],[Brand Type]]="Normal","","Send, "&amp;Tabela2[[#This Row],[Add-On]]&amp;"|")&amp;"Send, {Tab}|Send, {Tab}|Send, {Tab}|Send, {Tab}|Send, {Tab}|Send, {Tab}|Send, "&amp;SUBSTITUTE(Tabela2[[#This Row],[Qnt 1 (Reference)]],".",",")&amp;"|Send, {Tab}|Send, {Tab}|Send, "&amp;SUBSTITUTE(Tabela2[[#This Row],[Qnt 2 (Reference)]],".",",")&amp;"|Send, {F3}","")</f>
        <v>Sleep, 2500|Send, {Down}|Send, K15X6-5X100|Send, {Tab}|Send, {Tab}|Send, {Tab}|Send, {Tab}|Send, SINDOFORM K40-US|Send, {Tab}|Send, {Tab}|Send, {Tab}|Send, {Tab}|Send, {Tab}|Send, {Tab}|Send, {Tab}|Send, {Tab}|Send, {Tab}|Send, 296|Send, {Tab}|Send, {Tab}|Send, 311|Send, {F3}</v>
      </c>
      <c r="R27" t="str">
        <f ca="1">IFERROR(IF(Tabela2[[#This Row],[Item (Reference)]]="","",IF(Tabela2[[#This Row],[Shape]]="-",Tabela2[[#This Row],[Reference2]],Tabela2[[#This Row],[Reference3]])),"")</f>
        <v>Sleep, 2500|Send, {Down}|Send, K15X6-5X100|Send, {Tab}|Send, {Tab}|Send, {Tab}|Send, {Tab}|Send, SINDOFORM K40-US|Send, {Tab}|Send, {Tab}|Send, {Tab}|Send, {Tab}|Send, {Tab}|Send, {Tab}|Send, {Tab}|Send, {Tab}|Send, {Tab}|Send, 296|Send, {Tab}|Send, {Tab}|Send, 311|Send, {F3}</v>
      </c>
      <c r="S27" t="str">
        <f ca="1">IFERROR(IF(Tabela2[[#This Row],[State]]="Automatico",Tabela2[[#This Row],[Reference1]]&amp;"|"&amp;Tabela2[[#This Row],[Reference4]],""),"")</f>
        <v>Sleep, 2500|Send, ^{Left}|Send, 260|Send, ^{Right}|Send, MAT_KONFIG|Send, {Enter}|Sleep, 2500|Send, {Down}|Send, K15X6-5X100|Send, {Tab}|Send, {Tab}|Send, {Tab}|Send, {Tab}|Send, SINDOFORM K40-US|Send, {Tab}|Send, {Tab}|Send, {Tab}|Send, {Tab}|Send, {Tab}|Send, {Tab}|Send, {Tab}|Send, {Tab}|Send, {Tab}|Send, 296|Send, {Tab}|Send, {Tab}|Send, 311|Send, {F3}</v>
      </c>
    </row>
    <row r="28" spans="1:19">
      <c r="A28" cm="1">
        <f t="array" ref="A28">IFERROR(IF(Tabela2[[#This Row],[State]]="Automatico",IF(Tabela2[[#This Row],[Shape]]="","",(ROW()-1)*10),INDEX(Tabela2[[#All],[Item (Reference)]],ROW()-1)),"")</f>
        <v>270</v>
      </c>
      <c r="B28" s="633">
        <f t="shared" si="1"/>
        <v>270</v>
      </c>
      <c r="C28" s="633" t="str">
        <f>IFERROR(IF(Tabela2[[#This Row],[Shape]]="","Automatico",IF(_xlfn.XLOOKUP(Tabela2[[#This Row],[Brand]],BRANDS[Brand],BRANDS[State])="Manual","Manual",IF(Tabela2[[#This Row],[Shape]]="-","Automatico",IF(_xlfn.XLOOKUP(Tabela2[[#This Row],[Shape]],SHAPES[Shape],SHAPES[State])="Manual","Manual","Automatico")))),"")</f>
        <v>Automatico</v>
      </c>
      <c r="D28" s="633" t="str">
        <f>IFERROR(IF(Tabela2[[#This Row],[Shape]]="","Normal",IF(_xlfn.XLOOKUP(Tabela2[[#This Row],[Brand]],BRANDS[Brand],BRANDS[Brand Type])="","Normal",_xlfn.XLOOKUP(Tabela2[[#This Row],[Brand]],BRANDS[Brand],BRANDS[Brand Type]))),"")</f>
        <v>Normal</v>
      </c>
      <c r="E28" s="633" t="s">
        <v>2296</v>
      </c>
      <c r="F28" s="635" t="s">
        <v>2015</v>
      </c>
      <c r="G28" s="633">
        <v>122</v>
      </c>
      <c r="H28" s="636">
        <v>131</v>
      </c>
      <c r="I28">
        <f>IFERROR(IF(Tabela2[[#This Row],[Shape]]="","",IF(Tabela2[[#This Row],[Shape]]="-",Tabela2[[#This Row],[Qnt 1]]/1000,Tabela2[[#This Row],[Qnt 1]])),"")</f>
        <v>122</v>
      </c>
      <c r="J28">
        <f>IFERROR(IF(Tabela2[[#This Row],[Shape]]="","",IF(Tabela2[[#This Row],[Shape]]="-",Tabela2[[#This Row],[Qnt 2]]/1000,Tabela2[[#This Row],[Qnt 2]])),"")</f>
        <v>131</v>
      </c>
      <c r="K28" t="str" cm="1">
        <f t="array" aca="1" ref="K28" ca="1">IFERROR(IF(Tabela2[[#This Row],[Brand Type]]="Normal",Tabela2[[#This Row],[Brand]],_xlfn.CONCAT(MID(RIGHT(_xlfn.CONCAT(MID(Tabela2[[#This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 +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Row],[Brand]]))),1)),1)))-ROW(INDIRECT("1:" &amp;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f>
        <v>SINDOFORM K40-US</v>
      </c>
      <c r="L28" t="str" cm="1">
        <f t="array" aca="1" ref="L28" ca="1">IFERROR(IF(Tabela2[[#This Row],[Brand Type]]="Normal","",_xlfn.CONCAT(MID(LEFT(_xlfn.CONCAT(MID(Tabela2[[#This Row],[Brand]],1 + LEN(Tabela2[[#This Row],[Brand]])-ROW(INDIRECT("1:" &amp; LEN(Tabela2[[#This Row],[Brand]]))),1)),SEARCH(" ",_xlfn.CONCAT(MID(Tabela2[[#This Row],[Brand]],1 + LEN(Tabela2[[#This Row],[Brand]])-ROW(INDIRECT("1:" &amp; LEN(Tabela2[[#This Row],[Brand]]))),1)),1)-1),1 + LEN(LEFT(_xlfn.CONCAT(MID(Tabela2[[#This Row],[Brand]],1 + LEN(Tabela2[[#This Row],[Brand]])-ROW(INDIRECT("1:" &amp; LEN(Tabela2[[#This Row],[Brand]]))),1)),SEARCH(" ",_xlfn.CONCAT(MID(Tabela2[[#This Row],[Brand]],1 + LEN(Tabela2[[#This Row],[Brand]])-ROW(INDIRECT("1:" &amp; LEN(Tabela2[[#This Row],[Brand]]))),1)),1)-1))-ROW(INDIRECT("1:" &amp; LEN(LEFT(_xlfn.CONCAT(MID(Tabela2[[#This Row],[Brand]],1 + LEN(Tabela2[[#This Row],[Brand]])-ROW(INDIRECT("1:" &amp; LEN(Tabela2[[#This Row],[Brand]]))),1)),SEARCH(" ",_xlfn.CONCAT(MID(Tabela2[[#This Row],[Brand]],1 + LEN(Tabela2[[#This Row],[Brand]])-ROW(INDIRECT("1:" &amp; LEN(Tabela2[[#This Row],[Brand]]))),1)),1)-1)))),1))),"")</f>
        <v/>
      </c>
      <c r="M28">
        <f>IFERROR(IF(SAP_FINAL!$C$11="Office",2000,IF(SAP_FINAL!$C$11="VPN",3500,5000)),"")</f>
        <v>2000</v>
      </c>
      <c r="N28">
        <f>IFERROR(IF(SAP_FINAL!$C$11="Office",2500,IF(SAP_FINAL!$C$11="VPN",4000,5000)),"")</f>
        <v>2500</v>
      </c>
      <c r="O28" t="str" cm="1">
        <f t="array" ref="O28">IFERROR(IF(ROW(Tabela2[[#This Row],[Brand]])=2,"Send, "&amp;Tabela2[[#This Row],[Item]]&amp;"|Send, ^{Right}|Send, ^{Right}|Send, ^{Right}|Send, " &amp;LEFT(TRIM(Tabela2[[#This Row],[Brand]]),38)&amp;"|Send, {Enter}",IF(Tabela2[[#This Row],[Item (Reference)]]&lt;&gt;"",IF(INDEX(Tabela2[[#All],[Item (Reference)]],ROW()-1)="",IF(Tabela2[[#This Row],[Shape]]="","Sleep, "&amp;Tabela2[[#This Row],[Delay2]]&amp;"|Send, ^{Left}|Send, "&amp;Tabela2[[#This Row],[Item]]&amp;"|Send, ^{Right}|Send, ^{Right}|Send, ^{Right}|Send, "&amp;LEFT(TRIM(Tabela2[[#This Row],[Brand]]),38)&amp;"|Send, {Enter}","Sleep, "&amp;Tabela2[[#This Row],[Delay1]]&amp;"|Send, ^{Left}|Send, "&amp;Tabela2[[#This Row],[Item]]&amp;"|Send, ^{Right}|Send, MAT_KONFIG|Send, {Enter}"),"Sleep, "&amp;Tabela2[[#This Row],[Delay2]]&amp;"|Send, ^{Left}|Send, "&amp;Tabela2[[#This Row],[Item]]&amp;"|Send, ^{Right}|Send, MAT_KONFIG|Send, {Enter}"),"Sleep, "&amp;Tabela2[[#This Row],[Delay2]]&amp;"|Send, ^{Left}|Send, "&amp;Tabela2[[#This Row],[Item]]&amp;"|Send, ^{Right}|Send, ^{Right}|Send, ^{Right}|Send, "&amp;LEFT(TRIM(Tabela2[[#This Row],[Brand]]),38)&amp;"|Send, {Enter}")),"")</f>
        <v>Sleep, 2500|Send, ^{Left}|Send, 270|Send, ^{Right}|Send, MAT_KONFIG|Send, {Enter}</v>
      </c>
      <c r="P28" t="str">
        <f>IFERROR("Sleep, "&amp;Tabela2[[#This Row],[Delay2]]&amp;"|Send, U|Send, {Tab}|Send, {Tab}|Send, {Tab}|Send, {Tab}|Send, {Tab}|Send, {Tab}|Send, "&amp;TRIM(Tabela2[[#This Row],[Brand]])&amp;"|Send, {Tab}|Send, {Tab}|Send, {Tab}|Send, {Tab}|Send, {Tab}|Send, {Tab}|Send, {Tab}|Send, {Tab}|Send, {Tab}|Send, "&amp;SUBSTITUTE(Tabela2[[#This Row],[Qnt 1 (Reference)]],".",",")&amp;"|Send, {Tab}|Send, {Tab}|Send, "&amp;SUBSTITUTE(Tabela2[[#This Row],[Qnt 2 (Reference)]],".",",")&amp;"|Send, {F3}","")</f>
        <v>Sleep, 2500|Send, U|Send, {Tab}|Send, {Tab}|Send, {Tab}|Send, {Tab}|Send, {Tab}|Send, {Tab}|Send, SINDOFORM K40-US|Send, {Tab}|Send, {Tab}|Send, {Tab}|Send, {Tab}|Send, {Tab}|Send, {Tab}|Send, {Tab}|Send, {Tab}|Send, {Tab}|Send, 122|Send, {Tab}|Send, {Tab}|Send, 131|Send, {F3}</v>
      </c>
      <c r="Q28" t="str">
        <f ca="1">IFERROR("Sleep, "&amp;Tabela2[[#This Row],[Delay2]]&amp;"|Send, {Down}|Send, "&amp;SUBSTITUTE(SUBSTITUTE(Tabela2[[#This Row],[Shape]],"+","{+}")," ","")&amp;"|Send, {Tab}|Send, {Tab}|Send, {Tab}|Send, {Tab}|Send, "&amp;Tabela2[[#This Row],[Brand (Reference)]]&amp;"|Send, {Tab}|Send, {Tab}|Send, {Tab}|"&amp;IF(Tabela2[[#This Row],[Brand Type]]="Normal","","Send, "&amp;Tabela2[[#This Row],[Add-On]]&amp;"|")&amp;"Send, {Tab}|Send, {Tab}|Send, {Tab}|Send, {Tab}|Send, {Tab}|Send, {Tab}|Send, "&amp;SUBSTITUTE(Tabela2[[#This Row],[Qnt 1 (Reference)]],".",",")&amp;"|Send, {Tab}|Send, {Tab}|Send, "&amp;SUBSTITUTE(Tabela2[[#This Row],[Qnt 2 (Reference)]],".",",")&amp;"|Send, {F3}","")</f>
        <v>Sleep, 2500|Send, {Down}|Send, K18X6-4X100|Send, {Tab}|Send, {Tab}|Send, {Tab}|Send, {Tab}|Send, SINDOFORM K40-US|Send, {Tab}|Send, {Tab}|Send, {Tab}|Send, {Tab}|Send, {Tab}|Send, {Tab}|Send, {Tab}|Send, {Tab}|Send, {Tab}|Send, 122|Send, {Tab}|Send, {Tab}|Send, 131|Send, {F3}</v>
      </c>
      <c r="R28" t="str">
        <f ca="1">IFERROR(IF(Tabela2[[#This Row],[Item (Reference)]]="","",IF(Tabela2[[#This Row],[Shape]]="-",Tabela2[[#This Row],[Reference2]],Tabela2[[#This Row],[Reference3]])),"")</f>
        <v>Sleep, 2500|Send, {Down}|Send, K18X6-4X100|Send, {Tab}|Send, {Tab}|Send, {Tab}|Send, {Tab}|Send, SINDOFORM K40-US|Send, {Tab}|Send, {Tab}|Send, {Tab}|Send, {Tab}|Send, {Tab}|Send, {Tab}|Send, {Tab}|Send, {Tab}|Send, {Tab}|Send, 122|Send, {Tab}|Send, {Tab}|Send, 131|Send, {F3}</v>
      </c>
      <c r="S28" t="str">
        <f ca="1">IFERROR(IF(Tabela2[[#This Row],[State]]="Automatico",Tabela2[[#This Row],[Reference1]]&amp;"|"&amp;Tabela2[[#This Row],[Reference4]],""),"")</f>
        <v>Sleep, 2500|Send, ^{Left}|Send, 270|Send, ^{Right}|Send, MAT_KONFIG|Send, {Enter}|Sleep, 2500|Send, {Down}|Send, K18X6-4X100|Send, {Tab}|Send, {Tab}|Send, {Tab}|Send, {Tab}|Send, SINDOFORM K40-US|Send, {Tab}|Send, {Tab}|Send, {Tab}|Send, {Tab}|Send, {Tab}|Send, {Tab}|Send, {Tab}|Send, {Tab}|Send, {Tab}|Send, 122|Send, {Tab}|Send, {Tab}|Send, 131|Send, {F3}</v>
      </c>
    </row>
    <row r="29" spans="1:19">
      <c r="A29" cm="1">
        <f t="array" ref="A29">IFERROR(IF(Tabela2[[#This Row],[State]]="Automatico",IF(Tabela2[[#This Row],[Shape]]="","",(ROW()-1)*10),INDEX(Tabela2[[#All],[Item (Reference)]],ROW()-1)),"")</f>
        <v>280</v>
      </c>
      <c r="B29" s="633">
        <f t="shared" si="1"/>
        <v>280</v>
      </c>
      <c r="C29" s="633" t="str">
        <f>IFERROR(IF(Tabela2[[#This Row],[Shape]]="","Automatico",IF(_xlfn.XLOOKUP(Tabela2[[#This Row],[Brand]],BRANDS[Brand],BRANDS[State])="Manual","Manual",IF(Tabela2[[#This Row],[Shape]]="-","Automatico",IF(_xlfn.XLOOKUP(Tabela2[[#This Row],[Shape]],SHAPES[Shape],SHAPES[State])="Manual","Manual","Automatico")))),"")</f>
        <v>Automatico</v>
      </c>
      <c r="D29" s="633" t="str">
        <f>IFERROR(IF(Tabela2[[#This Row],[Shape]]="","Normal",IF(_xlfn.XLOOKUP(Tabela2[[#This Row],[Brand]],BRANDS[Brand],BRANDS[Brand Type])="","Normal",_xlfn.XLOOKUP(Tabela2[[#This Row],[Brand]],BRANDS[Brand],BRANDS[Brand Type]))),"")</f>
        <v>Normal</v>
      </c>
      <c r="E29" s="633" t="s">
        <v>2296</v>
      </c>
      <c r="F29" s="635" t="s">
        <v>2014</v>
      </c>
      <c r="G29" s="633">
        <v>276</v>
      </c>
      <c r="H29" s="636">
        <v>290</v>
      </c>
      <c r="I29">
        <f>IFERROR(IF(Tabela2[[#This Row],[Shape]]="","",IF(Tabela2[[#This Row],[Shape]]="-",Tabela2[[#This Row],[Qnt 1]]/1000,Tabela2[[#This Row],[Qnt 1]])),"")</f>
        <v>276</v>
      </c>
      <c r="J29">
        <f>IFERROR(IF(Tabela2[[#This Row],[Shape]]="","",IF(Tabela2[[#This Row],[Shape]]="-",Tabela2[[#This Row],[Qnt 2]]/1000,Tabela2[[#This Row],[Qnt 2]])),"")</f>
        <v>290</v>
      </c>
      <c r="K29" t="str" cm="1">
        <f t="array" aca="1" ref="K29" ca="1">IFERROR(IF(Tabela2[[#This Row],[Brand Type]]="Normal",Tabela2[[#This Row],[Brand]],_xlfn.CONCAT(MID(RIGHT(_xlfn.CONCAT(MID(Tabela2[[#This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 +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Row],[Brand]]))),1)),1)))-ROW(INDIRECT("1:" &amp;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f>
        <v>SINDOFORM K40-US</v>
      </c>
      <c r="L29" t="str" cm="1">
        <f t="array" aca="1" ref="L29" ca="1">IFERROR(IF(Tabela2[[#This Row],[Brand Type]]="Normal","",_xlfn.CONCAT(MID(LEFT(_xlfn.CONCAT(MID(Tabela2[[#This Row],[Brand]],1 + LEN(Tabela2[[#This Row],[Brand]])-ROW(INDIRECT("1:" &amp; LEN(Tabela2[[#This Row],[Brand]]))),1)),SEARCH(" ",_xlfn.CONCAT(MID(Tabela2[[#This Row],[Brand]],1 + LEN(Tabela2[[#This Row],[Brand]])-ROW(INDIRECT("1:" &amp; LEN(Tabela2[[#This Row],[Brand]]))),1)),1)-1),1 + LEN(LEFT(_xlfn.CONCAT(MID(Tabela2[[#This Row],[Brand]],1 + LEN(Tabela2[[#This Row],[Brand]])-ROW(INDIRECT("1:" &amp; LEN(Tabela2[[#This Row],[Brand]]))),1)),SEARCH(" ",_xlfn.CONCAT(MID(Tabela2[[#This Row],[Brand]],1 + LEN(Tabela2[[#This Row],[Brand]])-ROW(INDIRECT("1:" &amp; LEN(Tabela2[[#This Row],[Brand]]))),1)),1)-1))-ROW(INDIRECT("1:" &amp; LEN(LEFT(_xlfn.CONCAT(MID(Tabela2[[#This Row],[Brand]],1 + LEN(Tabela2[[#This Row],[Brand]])-ROW(INDIRECT("1:" &amp; LEN(Tabela2[[#This Row],[Brand]]))),1)),SEARCH(" ",_xlfn.CONCAT(MID(Tabela2[[#This Row],[Brand]],1 + LEN(Tabela2[[#This Row],[Brand]])-ROW(INDIRECT("1:" &amp; LEN(Tabela2[[#This Row],[Brand]]))),1)),1)-1)))),1))),"")</f>
        <v/>
      </c>
      <c r="M29">
        <f>IFERROR(IF(SAP_FINAL!$C$11="Office",2000,IF(SAP_FINAL!$C$11="VPN",3500,5000)),"")</f>
        <v>2000</v>
      </c>
      <c r="N29">
        <f>IFERROR(IF(SAP_FINAL!$C$11="Office",2500,IF(SAP_FINAL!$C$11="VPN",4000,5000)),"")</f>
        <v>2500</v>
      </c>
      <c r="O29" t="str" cm="1">
        <f t="array" ref="O29">IFERROR(IF(ROW(Tabela2[[#This Row],[Brand]])=2,"Send, "&amp;Tabela2[[#This Row],[Item]]&amp;"|Send, ^{Right}|Send, ^{Right}|Send, ^{Right}|Send, " &amp;LEFT(TRIM(Tabela2[[#This Row],[Brand]]),38)&amp;"|Send, {Enter}",IF(Tabela2[[#This Row],[Item (Reference)]]&lt;&gt;"",IF(INDEX(Tabela2[[#All],[Item (Reference)]],ROW()-1)="",IF(Tabela2[[#This Row],[Shape]]="","Sleep, "&amp;Tabela2[[#This Row],[Delay2]]&amp;"|Send, ^{Left}|Send, "&amp;Tabela2[[#This Row],[Item]]&amp;"|Send, ^{Right}|Send, ^{Right}|Send, ^{Right}|Send, "&amp;LEFT(TRIM(Tabela2[[#This Row],[Brand]]),38)&amp;"|Send, {Enter}","Sleep, "&amp;Tabela2[[#This Row],[Delay1]]&amp;"|Send, ^{Left}|Send, "&amp;Tabela2[[#This Row],[Item]]&amp;"|Send, ^{Right}|Send, MAT_KONFIG|Send, {Enter}"),"Sleep, "&amp;Tabela2[[#This Row],[Delay2]]&amp;"|Send, ^{Left}|Send, "&amp;Tabela2[[#This Row],[Item]]&amp;"|Send, ^{Right}|Send, MAT_KONFIG|Send, {Enter}"),"Sleep, "&amp;Tabela2[[#This Row],[Delay2]]&amp;"|Send, ^{Left}|Send, "&amp;Tabela2[[#This Row],[Item]]&amp;"|Send, ^{Right}|Send, ^{Right}|Send, ^{Right}|Send, "&amp;LEFT(TRIM(Tabela2[[#This Row],[Brand]]),38)&amp;"|Send, {Enter}")),"")</f>
        <v>Sleep, 2500|Send, ^{Left}|Send, 280|Send, ^{Right}|Send, MAT_KONFIG|Send, {Enter}</v>
      </c>
      <c r="P29" t="str">
        <f>IFERROR("Sleep, "&amp;Tabela2[[#This Row],[Delay2]]&amp;"|Send, U|Send, {Tab}|Send, {Tab}|Send, {Tab}|Send, {Tab}|Send, {Tab}|Send, {Tab}|Send, "&amp;TRIM(Tabela2[[#This Row],[Brand]])&amp;"|Send, {Tab}|Send, {Tab}|Send, {Tab}|Send, {Tab}|Send, {Tab}|Send, {Tab}|Send, {Tab}|Send, {Tab}|Send, {Tab}|Send, "&amp;SUBSTITUTE(Tabela2[[#This Row],[Qnt 1 (Reference)]],".",",")&amp;"|Send, {Tab}|Send, {Tab}|Send, "&amp;SUBSTITUTE(Tabela2[[#This Row],[Qnt 2 (Reference)]],".",",")&amp;"|Send, {F3}","")</f>
        <v>Sleep, 2500|Send, U|Send, {Tab}|Send, {Tab}|Send, {Tab}|Send, {Tab}|Send, {Tab}|Send, {Tab}|Send, SINDOFORM K40-US|Send, {Tab}|Send, {Tab}|Send, {Tab}|Send, {Tab}|Send, {Tab}|Send, {Tab}|Send, {Tab}|Send, {Tab}|Send, {Tab}|Send, 276|Send, {Tab}|Send, {Tab}|Send, 290|Send, {F3}</v>
      </c>
      <c r="Q29" t="str">
        <f ca="1">IFERROR("Sleep, "&amp;Tabela2[[#This Row],[Delay2]]&amp;"|Send, {Down}|Send, "&amp;SUBSTITUTE(SUBSTITUTE(Tabela2[[#This Row],[Shape]],"+","{+}")," ","")&amp;"|Send, {Tab}|Send, {Tab}|Send, {Tab}|Send, {Tab}|Send, "&amp;Tabela2[[#This Row],[Brand (Reference)]]&amp;"|Send, {Tab}|Send, {Tab}|Send, {Tab}|"&amp;IF(Tabela2[[#This Row],[Brand Type]]="Normal","","Send, "&amp;Tabela2[[#This Row],[Add-On]]&amp;"|")&amp;"Send, {Tab}|Send, {Tab}|Send, {Tab}|Send, {Tab}|Send, {Tab}|Send, {Tab}|Send, "&amp;SUBSTITUTE(Tabela2[[#This Row],[Qnt 1 (Reference)]],".",",")&amp;"|Send, {Tab}|Send, {Tab}|Send, "&amp;SUBSTITUTE(Tabela2[[#This Row],[Qnt 2 (Reference)]],".",",")&amp;"|Send, {F3}","")</f>
        <v>Sleep, 2500|Send, {Down}|Send, K18X6-5X100|Send, {Tab}|Send, {Tab}|Send, {Tab}|Send, {Tab}|Send, SINDOFORM K40-US|Send, {Tab}|Send, {Tab}|Send, {Tab}|Send, {Tab}|Send, {Tab}|Send, {Tab}|Send, {Tab}|Send, {Tab}|Send, {Tab}|Send, 276|Send, {Tab}|Send, {Tab}|Send, 290|Send, {F3}</v>
      </c>
      <c r="R29" t="str">
        <f ca="1">IFERROR(IF(Tabela2[[#This Row],[Item (Reference)]]="","",IF(Tabela2[[#This Row],[Shape]]="-",Tabela2[[#This Row],[Reference2]],Tabela2[[#This Row],[Reference3]])),"")</f>
        <v>Sleep, 2500|Send, {Down}|Send, K18X6-5X100|Send, {Tab}|Send, {Tab}|Send, {Tab}|Send, {Tab}|Send, SINDOFORM K40-US|Send, {Tab}|Send, {Tab}|Send, {Tab}|Send, {Tab}|Send, {Tab}|Send, {Tab}|Send, {Tab}|Send, {Tab}|Send, {Tab}|Send, 276|Send, {Tab}|Send, {Tab}|Send, 290|Send, {F3}</v>
      </c>
      <c r="S29" t="str">
        <f ca="1">IFERROR(IF(Tabela2[[#This Row],[State]]="Automatico",Tabela2[[#This Row],[Reference1]]&amp;"|"&amp;Tabela2[[#This Row],[Reference4]],""),"")</f>
        <v>Sleep, 2500|Send, ^{Left}|Send, 280|Send, ^{Right}|Send, MAT_KONFIG|Send, {Enter}|Sleep, 2500|Send, {Down}|Send, K18X6-5X100|Send, {Tab}|Send, {Tab}|Send, {Tab}|Send, {Tab}|Send, SINDOFORM K40-US|Send, {Tab}|Send, {Tab}|Send, {Tab}|Send, {Tab}|Send, {Tab}|Send, {Tab}|Send, {Tab}|Send, {Tab}|Send, {Tab}|Send, 276|Send, {Tab}|Send, {Tab}|Send, 290|Send, {F3}</v>
      </c>
    </row>
    <row r="30" spans="1:19">
      <c r="A30" cm="1">
        <f t="array" ref="A30">IFERROR(IF(Tabela2[[#This Row],[State]]="Automatico",IF(Tabela2[[#This Row],[Shape]]="","",(ROW()-1)*10),INDEX(Tabela2[[#All],[Item (Reference)]],ROW()-1)),"")</f>
        <v>290</v>
      </c>
      <c r="B30" s="633">
        <f t="shared" si="1"/>
        <v>290</v>
      </c>
      <c r="C30" s="633" t="str">
        <f>IFERROR(IF(Tabela2[[#This Row],[Shape]]="","Automatico",IF(_xlfn.XLOOKUP(Tabela2[[#This Row],[Brand]],BRANDS[Brand],BRANDS[State])="Manual","Manual",IF(Tabela2[[#This Row],[Shape]]="-","Automatico",IF(_xlfn.XLOOKUP(Tabela2[[#This Row],[Shape]],SHAPES[Shape],SHAPES[State])="Manual","Manual","Automatico")))),"")</f>
        <v>Automatico</v>
      </c>
      <c r="D30" s="633" t="str">
        <f>IFERROR(IF(Tabela2[[#This Row],[Shape]]="","Normal",IF(_xlfn.XLOOKUP(Tabela2[[#This Row],[Brand]],BRANDS[Brand],BRANDS[Brand Type])="","Normal",_xlfn.XLOOKUP(Tabela2[[#This Row],[Brand]],BRANDS[Brand],BRANDS[Brand Type]))),"")</f>
        <v>Normal</v>
      </c>
      <c r="E30" s="633" t="s">
        <v>2289</v>
      </c>
      <c r="F30" s="635" t="s">
        <v>2018</v>
      </c>
      <c r="G30" s="633">
        <v>572</v>
      </c>
      <c r="H30" s="636">
        <v>590</v>
      </c>
      <c r="I30">
        <f>IFERROR(IF(Tabela2[[#This Row],[Shape]]="","",IF(Tabela2[[#This Row],[Shape]]="-",Tabela2[[#This Row],[Qnt 1]]/1000,Tabela2[[#This Row],[Qnt 1]])),"")</f>
        <v>572</v>
      </c>
      <c r="J30">
        <f>IFERROR(IF(Tabela2[[#This Row],[Shape]]="","",IF(Tabela2[[#This Row],[Shape]]="-",Tabela2[[#This Row],[Qnt 2]]/1000,Tabela2[[#This Row],[Qnt 2]])),"")</f>
        <v>590</v>
      </c>
      <c r="K30" t="str" cm="1">
        <f t="array" aca="1" ref="K30" ca="1">IFERROR(IF(Tabela2[[#This Row],[Brand Type]]="Normal",Tabela2[[#This Row],[Brand]],_xlfn.CONCAT(MID(RIGHT(_xlfn.CONCAT(MID(Tabela2[[#This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 +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Row],[Brand]]))),1)),1)))-ROW(INDIRECT("1:" &amp;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f>
        <v>SINDOFORM K60-US</v>
      </c>
      <c r="L30" t="str" cm="1">
        <f t="array" aca="1" ref="L30" ca="1">IFERROR(IF(Tabela2[[#This Row],[Brand Type]]="Normal","",_xlfn.CONCAT(MID(LEFT(_xlfn.CONCAT(MID(Tabela2[[#This Row],[Brand]],1 + LEN(Tabela2[[#This Row],[Brand]])-ROW(INDIRECT("1:" &amp; LEN(Tabela2[[#This Row],[Brand]]))),1)),SEARCH(" ",_xlfn.CONCAT(MID(Tabela2[[#This Row],[Brand]],1 + LEN(Tabela2[[#This Row],[Brand]])-ROW(INDIRECT("1:" &amp; LEN(Tabela2[[#This Row],[Brand]]))),1)),1)-1),1 + LEN(LEFT(_xlfn.CONCAT(MID(Tabela2[[#This Row],[Brand]],1 + LEN(Tabela2[[#This Row],[Brand]])-ROW(INDIRECT("1:" &amp; LEN(Tabela2[[#This Row],[Brand]]))),1)),SEARCH(" ",_xlfn.CONCAT(MID(Tabela2[[#This Row],[Brand]],1 + LEN(Tabela2[[#This Row],[Brand]])-ROW(INDIRECT("1:" &amp; LEN(Tabela2[[#This Row],[Brand]]))),1)),1)-1))-ROW(INDIRECT("1:" &amp; LEN(LEFT(_xlfn.CONCAT(MID(Tabela2[[#This Row],[Brand]],1 + LEN(Tabela2[[#This Row],[Brand]])-ROW(INDIRECT("1:" &amp; LEN(Tabela2[[#This Row],[Brand]]))),1)),SEARCH(" ",_xlfn.CONCAT(MID(Tabela2[[#This Row],[Brand]],1 + LEN(Tabela2[[#This Row],[Brand]])-ROW(INDIRECT("1:" &amp; LEN(Tabela2[[#This Row],[Brand]]))),1)),1)-1)))),1))),"")</f>
        <v/>
      </c>
      <c r="M30">
        <f>IFERROR(IF(SAP_FINAL!$C$11="Office",2000,IF(SAP_FINAL!$C$11="VPN",3500,5000)),"")</f>
        <v>2000</v>
      </c>
      <c r="N30">
        <f>IFERROR(IF(SAP_FINAL!$C$11="Office",2500,IF(SAP_FINAL!$C$11="VPN",4000,5000)),"")</f>
        <v>2500</v>
      </c>
      <c r="O30" t="str" cm="1">
        <f t="array" ref="O30">IFERROR(IF(ROW(Tabela2[[#This Row],[Brand]])=2,"Send, "&amp;Tabela2[[#This Row],[Item]]&amp;"|Send, ^{Right}|Send, ^{Right}|Send, ^{Right}|Send, " &amp;LEFT(TRIM(Tabela2[[#This Row],[Brand]]),38)&amp;"|Send, {Enter}",IF(Tabela2[[#This Row],[Item (Reference)]]&lt;&gt;"",IF(INDEX(Tabela2[[#All],[Item (Reference)]],ROW()-1)="",IF(Tabela2[[#This Row],[Shape]]="","Sleep, "&amp;Tabela2[[#This Row],[Delay2]]&amp;"|Send, ^{Left}|Send, "&amp;Tabela2[[#This Row],[Item]]&amp;"|Send, ^{Right}|Send, ^{Right}|Send, ^{Right}|Send, "&amp;LEFT(TRIM(Tabela2[[#This Row],[Brand]]),38)&amp;"|Send, {Enter}","Sleep, "&amp;Tabela2[[#This Row],[Delay1]]&amp;"|Send, ^{Left}|Send, "&amp;Tabela2[[#This Row],[Item]]&amp;"|Send, ^{Right}|Send, MAT_KONFIG|Send, {Enter}"),"Sleep, "&amp;Tabela2[[#This Row],[Delay2]]&amp;"|Send, ^{Left}|Send, "&amp;Tabela2[[#This Row],[Item]]&amp;"|Send, ^{Right}|Send, MAT_KONFIG|Send, {Enter}"),"Sleep, "&amp;Tabela2[[#This Row],[Delay2]]&amp;"|Send, ^{Left}|Send, "&amp;Tabela2[[#This Row],[Item]]&amp;"|Send, ^{Right}|Send, ^{Right}|Send, ^{Right}|Send, "&amp;LEFT(TRIM(Tabela2[[#This Row],[Brand]]),38)&amp;"|Send, {Enter}")),"")</f>
        <v>Sleep, 2500|Send, ^{Left}|Send, 290|Send, ^{Right}|Send, MAT_KONFIG|Send, {Enter}</v>
      </c>
      <c r="P30" t="str">
        <f>IFERROR("Sleep, "&amp;Tabela2[[#This Row],[Delay2]]&amp;"|Send, U|Send, {Tab}|Send, {Tab}|Send, {Tab}|Send, {Tab}|Send, {Tab}|Send, {Tab}|Send, "&amp;TRIM(Tabela2[[#This Row],[Brand]])&amp;"|Send, {Tab}|Send, {Tab}|Send, {Tab}|Send, {Tab}|Send, {Tab}|Send, {Tab}|Send, {Tab}|Send, {Tab}|Send, {Tab}|Send, "&amp;SUBSTITUTE(Tabela2[[#This Row],[Qnt 1 (Reference)]],".",",")&amp;"|Send, {Tab}|Send, {Tab}|Send, "&amp;SUBSTITUTE(Tabela2[[#This Row],[Qnt 2 (Reference)]],".",",")&amp;"|Send, {F3}","")</f>
        <v>Sleep, 2500|Send, U|Send, {Tab}|Send, {Tab}|Send, {Tab}|Send, {Tab}|Send, {Tab}|Send, {Tab}|Send, SINDOFORM K60-US|Send, {Tab}|Send, {Tab}|Send, {Tab}|Send, {Tab}|Send, {Tab}|Send, {Tab}|Send, {Tab}|Send, {Tab}|Send, {Tab}|Send, 572|Send, {Tab}|Send, {Tab}|Send, 590|Send, {F3}</v>
      </c>
      <c r="Q30" t="str">
        <f ca="1">IFERROR("Sleep, "&amp;Tabela2[[#This Row],[Delay2]]&amp;"|Send, {Down}|Send, "&amp;SUBSTITUTE(SUBSTITUTE(Tabela2[[#This Row],[Shape]],"+","{+}")," ","")&amp;"|Send, {Tab}|Send, {Tab}|Send, {Tab}|Send, {Tab}|Send, "&amp;Tabela2[[#This Row],[Brand (Reference)]]&amp;"|Send, {Tab}|Send, {Tab}|Send, {Tab}|"&amp;IF(Tabela2[[#This Row],[Brand Type]]="Normal","","Send, "&amp;Tabela2[[#This Row],[Add-On]]&amp;"|")&amp;"Send, {Tab}|Send, {Tab}|Send, {Tab}|Send, {Tab}|Send, {Tab}|Send, {Tab}|Send, "&amp;SUBSTITUTE(Tabela2[[#This Row],[Qnt 1 (Reference)]],".",",")&amp;"|Send, {Tab}|Send, {Tab}|Send, "&amp;SUBSTITUTE(Tabela2[[#This Row],[Qnt 2 (Reference)]],".",",")&amp;"|Send, {F3}","")</f>
        <v>Sleep, 2500|Send, {Down}|Send, K21X6-4X100|Send, {Tab}|Send, {Tab}|Send, {Tab}|Send, {Tab}|Send, SINDOFORM K60-US|Send, {Tab}|Send, {Tab}|Send, {Tab}|Send, {Tab}|Send, {Tab}|Send, {Tab}|Send, {Tab}|Send, {Tab}|Send, {Tab}|Send, 572|Send, {Tab}|Send, {Tab}|Send, 590|Send, {F3}</v>
      </c>
      <c r="R30" t="str">
        <f ca="1">IFERROR(IF(Tabela2[[#This Row],[Item (Reference)]]="","",IF(Tabela2[[#This Row],[Shape]]="-",Tabela2[[#This Row],[Reference2]],Tabela2[[#This Row],[Reference3]])),"")</f>
        <v>Sleep, 2500|Send, {Down}|Send, K21X6-4X100|Send, {Tab}|Send, {Tab}|Send, {Tab}|Send, {Tab}|Send, SINDOFORM K60-US|Send, {Tab}|Send, {Tab}|Send, {Tab}|Send, {Tab}|Send, {Tab}|Send, {Tab}|Send, {Tab}|Send, {Tab}|Send, {Tab}|Send, 572|Send, {Tab}|Send, {Tab}|Send, 590|Send, {F3}</v>
      </c>
      <c r="S30" t="str">
        <f ca="1">IFERROR(IF(Tabela2[[#This Row],[State]]="Automatico",Tabela2[[#This Row],[Reference1]]&amp;"|"&amp;Tabela2[[#This Row],[Reference4]],""),"")</f>
        <v>Sleep, 2500|Send, ^{Left}|Send, 290|Send, ^{Right}|Send, MAT_KONFIG|Send, {Enter}|Sleep, 2500|Send, {Down}|Send, K21X6-4X100|Send, {Tab}|Send, {Tab}|Send, {Tab}|Send, {Tab}|Send, SINDOFORM K60-US|Send, {Tab}|Send, {Tab}|Send, {Tab}|Send, {Tab}|Send, {Tab}|Send, {Tab}|Send, {Tab}|Send, {Tab}|Send, {Tab}|Send, 572|Send, {Tab}|Send, {Tab}|Send, 590|Send, {F3}</v>
      </c>
    </row>
    <row r="31" spans="1:19">
      <c r="A31" cm="1">
        <f t="array" ref="A31">IFERROR(IF(Tabela2[[#This Row],[State]]="Automatico",IF(Tabela2[[#This Row],[Shape]]="","",(ROW()-1)*10),INDEX(Tabela2[[#All],[Item (Reference)]],ROW()-1)),"")</f>
        <v>300</v>
      </c>
      <c r="B31" s="633">
        <f t="shared" si="1"/>
        <v>300</v>
      </c>
      <c r="C31" s="633" t="str">
        <f>IFERROR(IF(Tabela2[[#This Row],[Shape]]="","Automatico",IF(_xlfn.XLOOKUP(Tabela2[[#This Row],[Brand]],BRANDS[Brand],BRANDS[State])="Manual","Manual",IF(Tabela2[[#This Row],[Shape]]="-","Automatico",IF(_xlfn.XLOOKUP(Tabela2[[#This Row],[Shape]],SHAPES[Shape],SHAPES[State])="Manual","Manual","Automatico")))),"")</f>
        <v>Automatico</v>
      </c>
      <c r="D31" s="633" t="str">
        <f>IFERROR(IF(Tabela2[[#This Row],[Shape]]="","Normal",IF(_xlfn.XLOOKUP(Tabela2[[#This Row],[Brand]],BRANDS[Brand],BRANDS[Brand Type])="","Normal",_xlfn.XLOOKUP(Tabela2[[#This Row],[Brand]],BRANDS[Brand],BRANDS[Brand Type]))),"")</f>
        <v>Normal</v>
      </c>
      <c r="E31" s="633" t="s">
        <v>2289</v>
      </c>
      <c r="F31" s="635" t="s">
        <v>2017</v>
      </c>
      <c r="G31" s="633">
        <v>498</v>
      </c>
      <c r="H31" s="636">
        <v>518</v>
      </c>
      <c r="I31">
        <f>IFERROR(IF(Tabela2[[#This Row],[Shape]]="","",IF(Tabela2[[#This Row],[Shape]]="-",Tabela2[[#This Row],[Qnt 1]]/1000,Tabela2[[#This Row],[Qnt 1]])),"")</f>
        <v>498</v>
      </c>
      <c r="J31">
        <f>IFERROR(IF(Tabela2[[#This Row],[Shape]]="","",IF(Tabela2[[#This Row],[Shape]]="-",Tabela2[[#This Row],[Qnt 2]]/1000,Tabela2[[#This Row],[Qnt 2]])),"")</f>
        <v>518</v>
      </c>
      <c r="K31" t="str" cm="1">
        <f t="array" aca="1" ref="K31" ca="1">IFERROR(IF(Tabela2[[#This Row],[Brand Type]]="Normal",Tabela2[[#This Row],[Brand]],_xlfn.CONCAT(MID(RIGHT(_xlfn.CONCAT(MID(Tabela2[[#This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 +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Row],[Brand]]))),1)),1)))-ROW(INDIRECT("1:" &amp;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f>
        <v>SINDOFORM K60-US</v>
      </c>
      <c r="L31" t="str" cm="1">
        <f t="array" aca="1" ref="L31" ca="1">IFERROR(IF(Tabela2[[#This Row],[Brand Type]]="Normal","",_xlfn.CONCAT(MID(LEFT(_xlfn.CONCAT(MID(Tabela2[[#This Row],[Brand]],1 + LEN(Tabela2[[#This Row],[Brand]])-ROW(INDIRECT("1:" &amp; LEN(Tabela2[[#This Row],[Brand]]))),1)),SEARCH(" ",_xlfn.CONCAT(MID(Tabela2[[#This Row],[Brand]],1 + LEN(Tabela2[[#This Row],[Brand]])-ROW(INDIRECT("1:" &amp; LEN(Tabela2[[#This Row],[Brand]]))),1)),1)-1),1 + LEN(LEFT(_xlfn.CONCAT(MID(Tabela2[[#This Row],[Brand]],1 + LEN(Tabela2[[#This Row],[Brand]])-ROW(INDIRECT("1:" &amp; LEN(Tabela2[[#This Row],[Brand]]))),1)),SEARCH(" ",_xlfn.CONCAT(MID(Tabela2[[#This Row],[Brand]],1 + LEN(Tabela2[[#This Row],[Brand]])-ROW(INDIRECT("1:" &amp; LEN(Tabela2[[#This Row],[Brand]]))),1)),1)-1))-ROW(INDIRECT("1:" &amp; LEN(LEFT(_xlfn.CONCAT(MID(Tabela2[[#This Row],[Brand]],1 + LEN(Tabela2[[#This Row],[Brand]])-ROW(INDIRECT("1:" &amp; LEN(Tabela2[[#This Row],[Brand]]))),1)),SEARCH(" ",_xlfn.CONCAT(MID(Tabela2[[#This Row],[Brand]],1 + LEN(Tabela2[[#This Row],[Brand]])-ROW(INDIRECT("1:" &amp; LEN(Tabela2[[#This Row],[Brand]]))),1)),1)-1)))),1))),"")</f>
        <v/>
      </c>
      <c r="M31">
        <f>IFERROR(IF(SAP_FINAL!$C$11="Office",2000,IF(SAP_FINAL!$C$11="VPN",3500,5000)),"")</f>
        <v>2000</v>
      </c>
      <c r="N31">
        <f>IFERROR(IF(SAP_FINAL!$C$11="Office",2500,IF(SAP_FINAL!$C$11="VPN",4000,5000)),"")</f>
        <v>2500</v>
      </c>
      <c r="O31" t="str" cm="1">
        <f t="array" ref="O31">IFERROR(IF(ROW(Tabela2[[#This Row],[Brand]])=2,"Send, "&amp;Tabela2[[#This Row],[Item]]&amp;"|Send, ^{Right}|Send, ^{Right}|Send, ^{Right}|Send, " &amp;LEFT(TRIM(Tabela2[[#This Row],[Brand]]),38)&amp;"|Send, {Enter}",IF(Tabela2[[#This Row],[Item (Reference)]]&lt;&gt;"",IF(INDEX(Tabela2[[#All],[Item (Reference)]],ROW()-1)="",IF(Tabela2[[#This Row],[Shape]]="","Sleep, "&amp;Tabela2[[#This Row],[Delay2]]&amp;"|Send, ^{Left}|Send, "&amp;Tabela2[[#This Row],[Item]]&amp;"|Send, ^{Right}|Send, ^{Right}|Send, ^{Right}|Send, "&amp;LEFT(TRIM(Tabela2[[#This Row],[Brand]]),38)&amp;"|Send, {Enter}","Sleep, "&amp;Tabela2[[#This Row],[Delay1]]&amp;"|Send, ^{Left}|Send, "&amp;Tabela2[[#This Row],[Item]]&amp;"|Send, ^{Right}|Send, MAT_KONFIG|Send, {Enter}"),"Sleep, "&amp;Tabela2[[#This Row],[Delay2]]&amp;"|Send, ^{Left}|Send, "&amp;Tabela2[[#This Row],[Item]]&amp;"|Send, ^{Right}|Send, MAT_KONFIG|Send, {Enter}"),"Sleep, "&amp;Tabela2[[#This Row],[Delay2]]&amp;"|Send, ^{Left}|Send, "&amp;Tabela2[[#This Row],[Item]]&amp;"|Send, ^{Right}|Send, ^{Right}|Send, ^{Right}|Send, "&amp;LEFT(TRIM(Tabela2[[#This Row],[Brand]]),38)&amp;"|Send, {Enter}")),"")</f>
        <v>Sleep, 2500|Send, ^{Left}|Send, 300|Send, ^{Right}|Send, MAT_KONFIG|Send, {Enter}</v>
      </c>
      <c r="P31" t="str">
        <f>IFERROR("Sleep, "&amp;Tabela2[[#This Row],[Delay2]]&amp;"|Send, U|Send, {Tab}|Send, {Tab}|Send, {Tab}|Send, {Tab}|Send, {Tab}|Send, {Tab}|Send, "&amp;TRIM(Tabela2[[#This Row],[Brand]])&amp;"|Send, {Tab}|Send, {Tab}|Send, {Tab}|Send, {Tab}|Send, {Tab}|Send, {Tab}|Send, {Tab}|Send, {Tab}|Send, {Tab}|Send, "&amp;SUBSTITUTE(Tabela2[[#This Row],[Qnt 1 (Reference)]],".",",")&amp;"|Send, {Tab}|Send, {Tab}|Send, "&amp;SUBSTITUTE(Tabela2[[#This Row],[Qnt 2 (Reference)]],".",",")&amp;"|Send, {F3}","")</f>
        <v>Sleep, 2500|Send, U|Send, {Tab}|Send, {Tab}|Send, {Tab}|Send, {Tab}|Send, {Tab}|Send, {Tab}|Send, SINDOFORM K60-US|Send, {Tab}|Send, {Tab}|Send, {Tab}|Send, {Tab}|Send, {Tab}|Send, {Tab}|Send, {Tab}|Send, {Tab}|Send, {Tab}|Send, 498|Send, {Tab}|Send, {Tab}|Send, 518|Send, {F3}</v>
      </c>
      <c r="Q31" t="str">
        <f ca="1">IFERROR("Sleep, "&amp;Tabela2[[#This Row],[Delay2]]&amp;"|Send, {Down}|Send, "&amp;SUBSTITUTE(SUBSTITUTE(Tabela2[[#This Row],[Shape]],"+","{+}")," ","")&amp;"|Send, {Tab}|Send, {Tab}|Send, {Tab}|Send, {Tab}|Send, "&amp;Tabela2[[#This Row],[Brand (Reference)]]&amp;"|Send, {Tab}|Send, {Tab}|Send, {Tab}|"&amp;IF(Tabela2[[#This Row],[Brand Type]]="Normal","","Send, "&amp;Tabela2[[#This Row],[Add-On]]&amp;"|")&amp;"Send, {Tab}|Send, {Tab}|Send, {Tab}|Send, {Tab}|Send, {Tab}|Send, {Tab}|Send, "&amp;SUBSTITUTE(Tabela2[[#This Row],[Qnt 1 (Reference)]],".",",")&amp;"|Send, {Tab}|Send, {Tab}|Send, "&amp;SUBSTITUTE(Tabela2[[#This Row],[Qnt 2 (Reference)]],".",",")&amp;"|Send, {F3}","")</f>
        <v>Sleep, 2500|Send, {Down}|Send, K21X6-5X100|Send, {Tab}|Send, {Tab}|Send, {Tab}|Send, {Tab}|Send, SINDOFORM K60-US|Send, {Tab}|Send, {Tab}|Send, {Tab}|Send, {Tab}|Send, {Tab}|Send, {Tab}|Send, {Tab}|Send, {Tab}|Send, {Tab}|Send, 498|Send, {Tab}|Send, {Tab}|Send, 518|Send, {F3}</v>
      </c>
      <c r="R31" t="str">
        <f ca="1">IFERROR(IF(Tabela2[[#This Row],[Item (Reference)]]="","",IF(Tabela2[[#This Row],[Shape]]="-",Tabela2[[#This Row],[Reference2]],Tabela2[[#This Row],[Reference3]])),"")</f>
        <v>Sleep, 2500|Send, {Down}|Send, K21X6-5X100|Send, {Tab}|Send, {Tab}|Send, {Tab}|Send, {Tab}|Send, SINDOFORM K60-US|Send, {Tab}|Send, {Tab}|Send, {Tab}|Send, {Tab}|Send, {Tab}|Send, {Tab}|Send, {Tab}|Send, {Tab}|Send, {Tab}|Send, 498|Send, {Tab}|Send, {Tab}|Send, 518|Send, {F3}</v>
      </c>
      <c r="S31" t="str">
        <f ca="1">IFERROR(IF(Tabela2[[#This Row],[State]]="Automatico",Tabela2[[#This Row],[Reference1]]&amp;"|"&amp;Tabela2[[#This Row],[Reference4]],""),"")</f>
        <v>Sleep, 2500|Send, ^{Left}|Send, 300|Send, ^{Right}|Send, MAT_KONFIG|Send, {Enter}|Sleep, 2500|Send, {Down}|Send, K21X6-5X100|Send, {Tab}|Send, {Tab}|Send, {Tab}|Send, {Tab}|Send, SINDOFORM K60-US|Send, {Tab}|Send, {Tab}|Send, {Tab}|Send, {Tab}|Send, {Tab}|Send, {Tab}|Send, {Tab}|Send, {Tab}|Send, {Tab}|Send, 498|Send, {Tab}|Send, {Tab}|Send, 518|Send, {F3}</v>
      </c>
    </row>
    <row r="32" spans="1:19">
      <c r="A32" cm="1">
        <f t="array" ref="A32">IFERROR(IF(Tabela2[[#This Row],[State]]="Automatico",IF(Tabela2[[#This Row],[Shape]]="","",(ROW()-1)*10),INDEX(Tabela2[[#All],[Item (Reference)]],ROW()-1)),"")</f>
        <v>310</v>
      </c>
      <c r="B32" s="633">
        <f t="shared" si="1"/>
        <v>310</v>
      </c>
      <c r="C32" s="633" t="str">
        <f>IFERROR(IF(Tabela2[[#This Row],[Shape]]="","Automatico",IF(_xlfn.XLOOKUP(Tabela2[[#This Row],[Brand]],BRANDS[Brand],BRANDS[State])="Manual","Manual",IF(Tabela2[[#This Row],[Shape]]="-","Automatico",IF(_xlfn.XLOOKUP(Tabela2[[#This Row],[Shape]],SHAPES[Shape],SHAPES[State])="Manual","Manual","Automatico")))),"")</f>
        <v>Automatico</v>
      </c>
      <c r="D32" s="633" t="str">
        <f>IFERROR(IF(Tabela2[[#This Row],[Shape]]="","Normal",IF(_xlfn.XLOOKUP(Tabela2[[#This Row],[Brand]],BRANDS[Brand],BRANDS[Brand Type])="","Normal",_xlfn.XLOOKUP(Tabela2[[#This Row],[Brand]],BRANDS[Brand],BRANDS[Brand Type]))),"")</f>
        <v>Normal</v>
      </c>
      <c r="E32" s="633" t="s">
        <v>2289</v>
      </c>
      <c r="F32" s="635" t="s">
        <v>2021</v>
      </c>
      <c r="G32" s="633">
        <v>132</v>
      </c>
      <c r="H32" s="636">
        <v>142</v>
      </c>
      <c r="I32">
        <f>IFERROR(IF(Tabela2[[#This Row],[Shape]]="","",IF(Tabela2[[#This Row],[Shape]]="-",Tabela2[[#This Row],[Qnt 1]]/1000,Tabela2[[#This Row],[Qnt 1]])),"")</f>
        <v>132</v>
      </c>
      <c r="J32">
        <f>IFERROR(IF(Tabela2[[#This Row],[Shape]]="","",IF(Tabela2[[#This Row],[Shape]]="-",Tabela2[[#This Row],[Qnt 2]]/1000,Tabela2[[#This Row],[Qnt 2]])),"")</f>
        <v>142</v>
      </c>
      <c r="K32" t="str" cm="1">
        <f t="array" aca="1" ref="K32" ca="1">IFERROR(IF(Tabela2[[#This Row],[Brand Type]]="Normal",Tabela2[[#This Row],[Brand]],_xlfn.CONCAT(MID(RIGHT(_xlfn.CONCAT(MID(Tabela2[[#This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 +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Row],[Brand]]))),1)),1)))-ROW(INDIRECT("1:" &amp;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f>
        <v>SINDOFORM K60-US</v>
      </c>
      <c r="L32" t="str" cm="1">
        <f t="array" aca="1" ref="L32" ca="1">IFERROR(IF(Tabela2[[#This Row],[Brand Type]]="Normal","",_xlfn.CONCAT(MID(LEFT(_xlfn.CONCAT(MID(Tabela2[[#This Row],[Brand]],1 + LEN(Tabela2[[#This Row],[Brand]])-ROW(INDIRECT("1:" &amp; LEN(Tabela2[[#This Row],[Brand]]))),1)),SEARCH(" ",_xlfn.CONCAT(MID(Tabela2[[#This Row],[Brand]],1 + LEN(Tabela2[[#This Row],[Brand]])-ROW(INDIRECT("1:" &amp; LEN(Tabela2[[#This Row],[Brand]]))),1)),1)-1),1 + LEN(LEFT(_xlfn.CONCAT(MID(Tabela2[[#This Row],[Brand]],1 + LEN(Tabela2[[#This Row],[Brand]])-ROW(INDIRECT("1:" &amp; LEN(Tabela2[[#This Row],[Brand]]))),1)),SEARCH(" ",_xlfn.CONCAT(MID(Tabela2[[#This Row],[Brand]],1 + LEN(Tabela2[[#This Row],[Brand]])-ROW(INDIRECT("1:" &amp; LEN(Tabela2[[#This Row],[Brand]]))),1)),1)-1))-ROW(INDIRECT("1:" &amp; LEN(LEFT(_xlfn.CONCAT(MID(Tabela2[[#This Row],[Brand]],1 + LEN(Tabela2[[#This Row],[Brand]])-ROW(INDIRECT("1:" &amp; LEN(Tabela2[[#This Row],[Brand]]))),1)),SEARCH(" ",_xlfn.CONCAT(MID(Tabela2[[#This Row],[Brand]],1 + LEN(Tabela2[[#This Row],[Brand]])-ROW(INDIRECT("1:" &amp; LEN(Tabela2[[#This Row],[Brand]]))),1)),1)-1)))),1))),"")</f>
        <v/>
      </c>
      <c r="M32">
        <f>IFERROR(IF(SAP_FINAL!$C$11="Office",2000,IF(SAP_FINAL!$C$11="VPN",3500,5000)),"")</f>
        <v>2000</v>
      </c>
      <c r="N32">
        <f>IFERROR(IF(SAP_FINAL!$C$11="Office",2500,IF(SAP_FINAL!$C$11="VPN",4000,5000)),"")</f>
        <v>2500</v>
      </c>
      <c r="O32" t="str" cm="1">
        <f t="array" ref="O32">IFERROR(IF(ROW(Tabela2[[#This Row],[Brand]])=2,"Send, "&amp;Tabela2[[#This Row],[Item]]&amp;"|Send, ^{Right}|Send, ^{Right}|Send, ^{Right}|Send, " &amp;LEFT(TRIM(Tabela2[[#This Row],[Brand]]),38)&amp;"|Send, {Enter}",IF(Tabela2[[#This Row],[Item (Reference)]]&lt;&gt;"",IF(INDEX(Tabela2[[#All],[Item (Reference)]],ROW()-1)="",IF(Tabela2[[#This Row],[Shape]]="","Sleep, "&amp;Tabela2[[#This Row],[Delay2]]&amp;"|Send, ^{Left}|Send, "&amp;Tabela2[[#This Row],[Item]]&amp;"|Send, ^{Right}|Send, ^{Right}|Send, ^{Right}|Send, "&amp;LEFT(TRIM(Tabela2[[#This Row],[Brand]]),38)&amp;"|Send, {Enter}","Sleep, "&amp;Tabela2[[#This Row],[Delay1]]&amp;"|Send, ^{Left}|Send, "&amp;Tabela2[[#This Row],[Item]]&amp;"|Send, ^{Right}|Send, MAT_KONFIG|Send, {Enter}"),"Sleep, "&amp;Tabela2[[#This Row],[Delay2]]&amp;"|Send, ^{Left}|Send, "&amp;Tabela2[[#This Row],[Item]]&amp;"|Send, ^{Right}|Send, MAT_KONFIG|Send, {Enter}"),"Sleep, "&amp;Tabela2[[#This Row],[Delay2]]&amp;"|Send, ^{Left}|Send, "&amp;Tabela2[[#This Row],[Item]]&amp;"|Send, ^{Right}|Send, ^{Right}|Send, ^{Right}|Send, "&amp;LEFT(TRIM(Tabela2[[#This Row],[Brand]]),38)&amp;"|Send, {Enter}")),"")</f>
        <v>Sleep, 2500|Send, ^{Left}|Send, 310|Send, ^{Right}|Send, MAT_KONFIG|Send, {Enter}</v>
      </c>
      <c r="P32" t="str">
        <f>IFERROR("Sleep, "&amp;Tabela2[[#This Row],[Delay2]]&amp;"|Send, U|Send, {Tab}|Send, {Tab}|Send, {Tab}|Send, {Tab}|Send, {Tab}|Send, {Tab}|Send, "&amp;TRIM(Tabela2[[#This Row],[Brand]])&amp;"|Send, {Tab}|Send, {Tab}|Send, {Tab}|Send, {Tab}|Send, {Tab}|Send, {Tab}|Send, {Tab}|Send, {Tab}|Send, {Tab}|Send, "&amp;SUBSTITUTE(Tabela2[[#This Row],[Qnt 1 (Reference)]],".",",")&amp;"|Send, {Tab}|Send, {Tab}|Send, "&amp;SUBSTITUTE(Tabela2[[#This Row],[Qnt 2 (Reference)]],".",",")&amp;"|Send, {F3}","")</f>
        <v>Sleep, 2500|Send, U|Send, {Tab}|Send, {Tab}|Send, {Tab}|Send, {Tab}|Send, {Tab}|Send, {Tab}|Send, SINDOFORM K60-US|Send, {Tab}|Send, {Tab}|Send, {Tab}|Send, {Tab}|Send, {Tab}|Send, {Tab}|Send, {Tab}|Send, {Tab}|Send, {Tab}|Send, 132|Send, {Tab}|Send, {Tab}|Send, 142|Send, {F3}</v>
      </c>
      <c r="Q32" t="str">
        <f ca="1">IFERROR("Sleep, "&amp;Tabela2[[#This Row],[Delay2]]&amp;"|Send, {Down}|Send, "&amp;SUBSTITUTE(SUBSTITUTE(Tabela2[[#This Row],[Shape]],"+","{+}")," ","")&amp;"|Send, {Tab}|Send, {Tab}|Send, {Tab}|Send, {Tab}|Send, "&amp;Tabela2[[#This Row],[Brand (Reference)]]&amp;"|Send, {Tab}|Send, {Tab}|Send, {Tab}|"&amp;IF(Tabela2[[#This Row],[Brand Type]]="Normal","","Send, "&amp;Tabela2[[#This Row],[Add-On]]&amp;"|")&amp;"Send, {Tab}|Send, {Tab}|Send, {Tab}|Send, {Tab}|Send, {Tab}|Send, {Tab}|Send, "&amp;SUBSTITUTE(Tabela2[[#This Row],[Qnt 1 (Reference)]],".",",")&amp;"|Send, {Tab}|Send, {Tab}|Send, "&amp;SUBSTITUTE(Tabela2[[#This Row],[Qnt 2 (Reference)]],".",",")&amp;"|Send, {F3}","")</f>
        <v>Sleep, 2500|Send, {Down}|Send, K24X6-4X100|Send, {Tab}|Send, {Tab}|Send, {Tab}|Send, {Tab}|Send, SINDOFORM K60-US|Send, {Tab}|Send, {Tab}|Send, {Tab}|Send, {Tab}|Send, {Tab}|Send, {Tab}|Send, {Tab}|Send, {Tab}|Send, {Tab}|Send, 132|Send, {Tab}|Send, {Tab}|Send, 142|Send, {F3}</v>
      </c>
      <c r="R32" t="str">
        <f ca="1">IFERROR(IF(Tabela2[[#This Row],[Item (Reference)]]="","",IF(Tabela2[[#This Row],[Shape]]="-",Tabela2[[#This Row],[Reference2]],Tabela2[[#This Row],[Reference3]])),"")</f>
        <v>Sleep, 2500|Send, {Down}|Send, K24X6-4X100|Send, {Tab}|Send, {Tab}|Send, {Tab}|Send, {Tab}|Send, SINDOFORM K60-US|Send, {Tab}|Send, {Tab}|Send, {Tab}|Send, {Tab}|Send, {Tab}|Send, {Tab}|Send, {Tab}|Send, {Tab}|Send, {Tab}|Send, 132|Send, {Tab}|Send, {Tab}|Send, 142|Send, {F3}</v>
      </c>
      <c r="S32" t="str">
        <f ca="1">IFERROR(IF(Tabela2[[#This Row],[State]]="Automatico",Tabela2[[#This Row],[Reference1]]&amp;"|"&amp;Tabela2[[#This Row],[Reference4]],""),"")</f>
        <v>Sleep, 2500|Send, ^{Left}|Send, 310|Send, ^{Right}|Send, MAT_KONFIG|Send, {Enter}|Sleep, 2500|Send, {Down}|Send, K24X6-4X100|Send, {Tab}|Send, {Tab}|Send, {Tab}|Send, {Tab}|Send, SINDOFORM K60-US|Send, {Tab}|Send, {Tab}|Send, {Tab}|Send, {Tab}|Send, {Tab}|Send, {Tab}|Send, {Tab}|Send, {Tab}|Send, {Tab}|Send, 132|Send, {Tab}|Send, {Tab}|Send, 142|Send, {F3}</v>
      </c>
    </row>
    <row r="33" spans="1:19">
      <c r="A33" cm="1">
        <f t="array" ref="A33">IFERROR(IF(Tabela2[[#This Row],[State]]="Automatico",IF(Tabela2[[#This Row],[Shape]]="","",(ROW()-1)*10),INDEX(Tabela2[[#All],[Item (Reference)]],ROW()-1)),"")</f>
        <v>320</v>
      </c>
      <c r="B33" s="633">
        <f t="shared" si="1"/>
        <v>320</v>
      </c>
      <c r="C33" s="633" t="str">
        <f>IFERROR(IF(Tabela2[[#This Row],[Shape]]="","Automatico",IF(_xlfn.XLOOKUP(Tabela2[[#This Row],[Brand]],BRANDS[Brand],BRANDS[State])="Manual","Manual",IF(Tabela2[[#This Row],[Shape]]="-","Automatico",IF(_xlfn.XLOOKUP(Tabela2[[#This Row],[Shape]],SHAPES[Shape],SHAPES[State])="Manual","Manual","Automatico")))),"")</f>
        <v>Automatico</v>
      </c>
      <c r="D33" s="633" t="str">
        <f>IFERROR(IF(Tabela2[[#This Row],[Shape]]="","Normal",IF(_xlfn.XLOOKUP(Tabela2[[#This Row],[Brand]],BRANDS[Brand],BRANDS[Brand Type])="","Normal",_xlfn.XLOOKUP(Tabela2[[#This Row],[Brand]],BRANDS[Brand],BRANDS[Brand Type]))),"")</f>
        <v>Normal</v>
      </c>
      <c r="E33" s="633" t="s">
        <v>2289</v>
      </c>
      <c r="F33" s="635" t="s">
        <v>2020</v>
      </c>
      <c r="G33" s="633">
        <v>40</v>
      </c>
      <c r="H33" s="636">
        <v>44</v>
      </c>
      <c r="I33">
        <f>IFERROR(IF(Tabela2[[#This Row],[Shape]]="","",IF(Tabela2[[#This Row],[Shape]]="-",Tabela2[[#This Row],[Qnt 1]]/1000,Tabela2[[#This Row],[Qnt 1]])),"")</f>
        <v>40</v>
      </c>
      <c r="J33">
        <f>IFERROR(IF(Tabela2[[#This Row],[Shape]]="","",IF(Tabela2[[#This Row],[Shape]]="-",Tabela2[[#This Row],[Qnt 2]]/1000,Tabela2[[#This Row],[Qnt 2]])),"")</f>
        <v>44</v>
      </c>
      <c r="K33" t="str" cm="1">
        <f t="array" aca="1" ref="K33" ca="1">IFERROR(IF(Tabela2[[#This Row],[Brand Type]]="Normal",Tabela2[[#This Row],[Brand]],_xlfn.CONCAT(MID(RIGHT(_xlfn.CONCAT(MID(Tabela2[[#This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 +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Row],[Brand]]))),1)),1)))-ROW(INDIRECT("1:" &amp;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f>
        <v>SINDOFORM K60-US</v>
      </c>
      <c r="L33" t="str" cm="1">
        <f t="array" aca="1" ref="L33" ca="1">IFERROR(IF(Tabela2[[#This Row],[Brand Type]]="Normal","",_xlfn.CONCAT(MID(LEFT(_xlfn.CONCAT(MID(Tabela2[[#This Row],[Brand]],1 + LEN(Tabela2[[#This Row],[Brand]])-ROW(INDIRECT("1:" &amp; LEN(Tabela2[[#This Row],[Brand]]))),1)),SEARCH(" ",_xlfn.CONCAT(MID(Tabela2[[#This Row],[Brand]],1 + LEN(Tabela2[[#This Row],[Brand]])-ROW(INDIRECT("1:" &amp; LEN(Tabela2[[#This Row],[Brand]]))),1)),1)-1),1 + LEN(LEFT(_xlfn.CONCAT(MID(Tabela2[[#This Row],[Brand]],1 + LEN(Tabela2[[#This Row],[Brand]])-ROW(INDIRECT("1:" &amp; LEN(Tabela2[[#This Row],[Brand]]))),1)),SEARCH(" ",_xlfn.CONCAT(MID(Tabela2[[#This Row],[Brand]],1 + LEN(Tabela2[[#This Row],[Brand]])-ROW(INDIRECT("1:" &amp; LEN(Tabela2[[#This Row],[Brand]]))),1)),1)-1))-ROW(INDIRECT("1:" &amp; LEN(LEFT(_xlfn.CONCAT(MID(Tabela2[[#This Row],[Brand]],1 + LEN(Tabela2[[#This Row],[Brand]])-ROW(INDIRECT("1:" &amp; LEN(Tabela2[[#This Row],[Brand]]))),1)),SEARCH(" ",_xlfn.CONCAT(MID(Tabela2[[#This Row],[Brand]],1 + LEN(Tabela2[[#This Row],[Brand]])-ROW(INDIRECT("1:" &amp; LEN(Tabela2[[#This Row],[Brand]]))),1)),1)-1)))),1))),"")</f>
        <v/>
      </c>
      <c r="M33">
        <f>IFERROR(IF(SAP_FINAL!$C$11="Office",2000,IF(SAP_FINAL!$C$11="VPN",3500,5000)),"")</f>
        <v>2000</v>
      </c>
      <c r="N33">
        <f>IFERROR(IF(SAP_FINAL!$C$11="Office",2500,IF(SAP_FINAL!$C$11="VPN",4000,5000)),"")</f>
        <v>2500</v>
      </c>
      <c r="O33" t="str" cm="1">
        <f t="array" ref="O33">IFERROR(IF(ROW(Tabela2[[#This Row],[Brand]])=2,"Send, "&amp;Tabela2[[#This Row],[Item]]&amp;"|Send, ^{Right}|Send, ^{Right}|Send, ^{Right}|Send, " &amp;LEFT(TRIM(Tabela2[[#This Row],[Brand]]),38)&amp;"|Send, {Enter}",IF(Tabela2[[#This Row],[Item (Reference)]]&lt;&gt;"",IF(INDEX(Tabela2[[#All],[Item (Reference)]],ROW()-1)="",IF(Tabela2[[#This Row],[Shape]]="","Sleep, "&amp;Tabela2[[#This Row],[Delay2]]&amp;"|Send, ^{Left}|Send, "&amp;Tabela2[[#This Row],[Item]]&amp;"|Send, ^{Right}|Send, ^{Right}|Send, ^{Right}|Send, "&amp;LEFT(TRIM(Tabela2[[#This Row],[Brand]]),38)&amp;"|Send, {Enter}","Sleep, "&amp;Tabela2[[#This Row],[Delay1]]&amp;"|Send, ^{Left}|Send, "&amp;Tabela2[[#This Row],[Item]]&amp;"|Send, ^{Right}|Send, MAT_KONFIG|Send, {Enter}"),"Sleep, "&amp;Tabela2[[#This Row],[Delay2]]&amp;"|Send, ^{Left}|Send, "&amp;Tabela2[[#This Row],[Item]]&amp;"|Send, ^{Right}|Send, MAT_KONFIG|Send, {Enter}"),"Sleep, "&amp;Tabela2[[#This Row],[Delay2]]&amp;"|Send, ^{Left}|Send, "&amp;Tabela2[[#This Row],[Item]]&amp;"|Send, ^{Right}|Send, ^{Right}|Send, ^{Right}|Send, "&amp;LEFT(TRIM(Tabela2[[#This Row],[Brand]]),38)&amp;"|Send, {Enter}")),"")</f>
        <v>Sleep, 2500|Send, ^{Left}|Send, 320|Send, ^{Right}|Send, MAT_KONFIG|Send, {Enter}</v>
      </c>
      <c r="P33" t="str">
        <f>IFERROR("Sleep, "&amp;Tabela2[[#This Row],[Delay2]]&amp;"|Send, U|Send, {Tab}|Send, {Tab}|Send, {Tab}|Send, {Tab}|Send, {Tab}|Send, {Tab}|Send, "&amp;TRIM(Tabela2[[#This Row],[Brand]])&amp;"|Send, {Tab}|Send, {Tab}|Send, {Tab}|Send, {Tab}|Send, {Tab}|Send, {Tab}|Send, {Tab}|Send, {Tab}|Send, {Tab}|Send, "&amp;SUBSTITUTE(Tabela2[[#This Row],[Qnt 1 (Reference)]],".",",")&amp;"|Send, {Tab}|Send, {Tab}|Send, "&amp;SUBSTITUTE(Tabela2[[#This Row],[Qnt 2 (Reference)]],".",",")&amp;"|Send, {F3}","")</f>
        <v>Sleep, 2500|Send, U|Send, {Tab}|Send, {Tab}|Send, {Tab}|Send, {Tab}|Send, {Tab}|Send, {Tab}|Send, SINDOFORM K60-US|Send, {Tab}|Send, {Tab}|Send, {Tab}|Send, {Tab}|Send, {Tab}|Send, {Tab}|Send, {Tab}|Send, {Tab}|Send, {Tab}|Send, 40|Send, {Tab}|Send, {Tab}|Send, 44|Send, {F3}</v>
      </c>
      <c r="Q33" t="str">
        <f ca="1">IFERROR("Sleep, "&amp;Tabela2[[#This Row],[Delay2]]&amp;"|Send, {Down}|Send, "&amp;SUBSTITUTE(SUBSTITUTE(Tabela2[[#This Row],[Shape]],"+","{+}")," ","")&amp;"|Send, {Tab}|Send, {Tab}|Send, {Tab}|Send, {Tab}|Send, "&amp;Tabela2[[#This Row],[Brand (Reference)]]&amp;"|Send, {Tab}|Send, {Tab}|Send, {Tab}|"&amp;IF(Tabela2[[#This Row],[Brand Type]]="Normal","","Send, "&amp;Tabela2[[#This Row],[Add-On]]&amp;"|")&amp;"Send, {Tab}|Send, {Tab}|Send, {Tab}|Send, {Tab}|Send, {Tab}|Send, {Tab}|Send, "&amp;SUBSTITUTE(Tabela2[[#This Row],[Qnt 1 (Reference)]],".",",")&amp;"|Send, {Tab}|Send, {Tab}|Send, "&amp;SUBSTITUTE(Tabela2[[#This Row],[Qnt 2 (Reference)]],".",",")&amp;"|Send, {F3}","")</f>
        <v>Sleep, 2500|Send, {Down}|Send, K24X6-5X100|Send, {Tab}|Send, {Tab}|Send, {Tab}|Send, {Tab}|Send, SINDOFORM K60-US|Send, {Tab}|Send, {Tab}|Send, {Tab}|Send, {Tab}|Send, {Tab}|Send, {Tab}|Send, {Tab}|Send, {Tab}|Send, {Tab}|Send, 40|Send, {Tab}|Send, {Tab}|Send, 44|Send, {F3}</v>
      </c>
      <c r="R33" t="str">
        <f ca="1">IFERROR(IF(Tabela2[[#This Row],[Item (Reference)]]="","",IF(Tabela2[[#This Row],[Shape]]="-",Tabela2[[#This Row],[Reference2]],Tabela2[[#This Row],[Reference3]])),"")</f>
        <v>Sleep, 2500|Send, {Down}|Send, K24X6-5X100|Send, {Tab}|Send, {Tab}|Send, {Tab}|Send, {Tab}|Send, SINDOFORM K60-US|Send, {Tab}|Send, {Tab}|Send, {Tab}|Send, {Tab}|Send, {Tab}|Send, {Tab}|Send, {Tab}|Send, {Tab}|Send, {Tab}|Send, 40|Send, {Tab}|Send, {Tab}|Send, 44|Send, {F3}</v>
      </c>
      <c r="S33" t="str">
        <f ca="1">IFERROR(IF(Tabela2[[#This Row],[State]]="Automatico",Tabela2[[#This Row],[Reference1]]&amp;"|"&amp;Tabela2[[#This Row],[Reference4]],""),"")</f>
        <v>Sleep, 2500|Send, ^{Left}|Send, 320|Send, ^{Right}|Send, MAT_KONFIG|Send, {Enter}|Sleep, 2500|Send, {Down}|Send, K24X6-5X100|Send, {Tab}|Send, {Tab}|Send, {Tab}|Send, {Tab}|Send, SINDOFORM K60-US|Send, {Tab}|Send, {Tab}|Send, {Tab}|Send, {Tab}|Send, {Tab}|Send, {Tab}|Send, {Tab}|Send, {Tab}|Send, {Tab}|Send, 40|Send, {Tab}|Send, {Tab}|Send, 44|Send, {F3}</v>
      </c>
    </row>
    <row r="34" spans="1:19">
      <c r="A34" cm="1">
        <f t="array" ref="A34">IFERROR(IF(Tabela2[[#This Row],[State]]="Automatico",IF(Tabela2[[#This Row],[Shape]]="","",(ROW()-1)*10),INDEX(Tabela2[[#All],[Item (Reference)]],ROW()-1)),"")</f>
        <v>330</v>
      </c>
      <c r="B34" s="633">
        <f t="shared" si="1"/>
        <v>330</v>
      </c>
      <c r="C34" s="633" t="str">
        <f>IFERROR(IF(Tabela2[[#This Row],[Shape]]="","Automatico",IF(_xlfn.XLOOKUP(Tabela2[[#This Row],[Brand]],BRANDS[Brand],BRANDS[State])="Manual","Manual",IF(Tabela2[[#This Row],[Shape]]="-","Automatico",IF(_xlfn.XLOOKUP(Tabela2[[#This Row],[Shape]],SHAPES[Shape],SHAPES[State])="Manual","Manual","Automatico")))),"")</f>
        <v>Automatico</v>
      </c>
      <c r="D34" s="633" t="str">
        <f>IFERROR(IF(Tabela2[[#This Row],[Shape]]="","Normal",IF(_xlfn.XLOOKUP(Tabela2[[#This Row],[Brand]],BRANDS[Brand],BRANDS[Brand Type])="","Normal",_xlfn.XLOOKUP(Tabela2[[#This Row],[Brand]],BRANDS[Brand],BRANDS[Brand Type]))),"")</f>
        <v>Normal</v>
      </c>
      <c r="E34" s="633" t="s">
        <v>2289</v>
      </c>
      <c r="F34" s="635" t="s">
        <v>2025</v>
      </c>
      <c r="G34" s="633">
        <v>254</v>
      </c>
      <c r="H34" s="636">
        <v>267</v>
      </c>
      <c r="I34">
        <f>IFERROR(IF(Tabela2[[#This Row],[Shape]]="","",IF(Tabela2[[#This Row],[Shape]]="-",Tabela2[[#This Row],[Qnt 1]]/1000,Tabela2[[#This Row],[Qnt 1]])),"")</f>
        <v>254</v>
      </c>
      <c r="J34">
        <f>IFERROR(IF(Tabela2[[#This Row],[Shape]]="","",IF(Tabela2[[#This Row],[Shape]]="-",Tabela2[[#This Row],[Qnt 2]]/1000,Tabela2[[#This Row],[Qnt 2]])),"")</f>
        <v>267</v>
      </c>
      <c r="K34" t="str" cm="1">
        <f t="array" aca="1" ref="K34" ca="1">IFERROR(IF(Tabela2[[#This Row],[Brand Type]]="Normal",Tabela2[[#This Row],[Brand]],_xlfn.CONCAT(MID(RIGHT(_xlfn.CONCAT(MID(Tabela2[[#This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 +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Row],[Brand]]))),1)),1)))-ROW(INDIRECT("1:" &amp;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f>
        <v>SINDOFORM K60-US</v>
      </c>
      <c r="L34" t="str" cm="1">
        <f t="array" aca="1" ref="L34" ca="1">IFERROR(IF(Tabela2[[#This Row],[Brand Type]]="Normal","",_xlfn.CONCAT(MID(LEFT(_xlfn.CONCAT(MID(Tabela2[[#This Row],[Brand]],1 + LEN(Tabela2[[#This Row],[Brand]])-ROW(INDIRECT("1:" &amp; LEN(Tabela2[[#This Row],[Brand]]))),1)),SEARCH(" ",_xlfn.CONCAT(MID(Tabela2[[#This Row],[Brand]],1 + LEN(Tabela2[[#This Row],[Brand]])-ROW(INDIRECT("1:" &amp; LEN(Tabela2[[#This Row],[Brand]]))),1)),1)-1),1 + LEN(LEFT(_xlfn.CONCAT(MID(Tabela2[[#This Row],[Brand]],1 + LEN(Tabela2[[#This Row],[Brand]])-ROW(INDIRECT("1:" &amp; LEN(Tabela2[[#This Row],[Brand]]))),1)),SEARCH(" ",_xlfn.CONCAT(MID(Tabela2[[#This Row],[Brand]],1 + LEN(Tabela2[[#This Row],[Brand]])-ROW(INDIRECT("1:" &amp; LEN(Tabela2[[#This Row],[Brand]]))),1)),1)-1))-ROW(INDIRECT("1:" &amp; LEN(LEFT(_xlfn.CONCAT(MID(Tabela2[[#This Row],[Brand]],1 + LEN(Tabela2[[#This Row],[Brand]])-ROW(INDIRECT("1:" &amp; LEN(Tabela2[[#This Row],[Brand]]))),1)),SEARCH(" ",_xlfn.CONCAT(MID(Tabela2[[#This Row],[Brand]],1 + LEN(Tabela2[[#This Row],[Brand]])-ROW(INDIRECT("1:" &amp; LEN(Tabela2[[#This Row],[Brand]]))),1)),1)-1)))),1))),"")</f>
        <v/>
      </c>
      <c r="M34">
        <f>IFERROR(IF(SAP_FINAL!$C$11="Office",2000,IF(SAP_FINAL!$C$11="VPN",3500,5000)),"")</f>
        <v>2000</v>
      </c>
      <c r="N34">
        <f>IFERROR(IF(SAP_FINAL!$C$11="Office",2500,IF(SAP_FINAL!$C$11="VPN",4000,5000)),"")</f>
        <v>2500</v>
      </c>
      <c r="O34" t="str" cm="1">
        <f t="array" ref="O34">IFERROR(IF(ROW(Tabela2[[#This Row],[Brand]])=2,"Send, "&amp;Tabela2[[#This Row],[Item]]&amp;"|Send, ^{Right}|Send, ^{Right}|Send, ^{Right}|Send, " &amp;LEFT(TRIM(Tabela2[[#This Row],[Brand]]),38)&amp;"|Send, {Enter}",IF(Tabela2[[#This Row],[Item (Reference)]]&lt;&gt;"",IF(INDEX(Tabela2[[#All],[Item (Reference)]],ROW()-1)="",IF(Tabela2[[#This Row],[Shape]]="","Sleep, "&amp;Tabela2[[#This Row],[Delay2]]&amp;"|Send, ^{Left}|Send, "&amp;Tabela2[[#This Row],[Item]]&amp;"|Send, ^{Right}|Send, ^{Right}|Send, ^{Right}|Send, "&amp;LEFT(TRIM(Tabela2[[#This Row],[Brand]]),38)&amp;"|Send, {Enter}","Sleep, "&amp;Tabela2[[#This Row],[Delay1]]&amp;"|Send, ^{Left}|Send, "&amp;Tabela2[[#This Row],[Item]]&amp;"|Send, ^{Right}|Send, MAT_KONFIG|Send, {Enter}"),"Sleep, "&amp;Tabela2[[#This Row],[Delay2]]&amp;"|Send, ^{Left}|Send, "&amp;Tabela2[[#This Row],[Item]]&amp;"|Send, ^{Right}|Send, MAT_KONFIG|Send, {Enter}"),"Sleep, "&amp;Tabela2[[#This Row],[Delay2]]&amp;"|Send, ^{Left}|Send, "&amp;Tabela2[[#This Row],[Item]]&amp;"|Send, ^{Right}|Send, ^{Right}|Send, ^{Right}|Send, "&amp;LEFT(TRIM(Tabela2[[#This Row],[Brand]]),38)&amp;"|Send, {Enter}")),"")</f>
        <v>Sleep, 2500|Send, ^{Left}|Send, 330|Send, ^{Right}|Send, MAT_KONFIG|Send, {Enter}</v>
      </c>
      <c r="P34" t="str">
        <f>IFERROR("Sleep, "&amp;Tabela2[[#This Row],[Delay2]]&amp;"|Send, U|Send, {Tab}|Send, {Tab}|Send, {Tab}|Send, {Tab}|Send, {Tab}|Send, {Tab}|Send, "&amp;TRIM(Tabela2[[#This Row],[Brand]])&amp;"|Send, {Tab}|Send, {Tab}|Send, {Tab}|Send, {Tab}|Send, {Tab}|Send, {Tab}|Send, {Tab}|Send, {Tab}|Send, {Tab}|Send, "&amp;SUBSTITUTE(Tabela2[[#This Row],[Qnt 1 (Reference)]],".",",")&amp;"|Send, {Tab}|Send, {Tab}|Send, "&amp;SUBSTITUTE(Tabela2[[#This Row],[Qnt 2 (Reference)]],".",",")&amp;"|Send, {F3}","")</f>
        <v>Sleep, 2500|Send, U|Send, {Tab}|Send, {Tab}|Send, {Tab}|Send, {Tab}|Send, {Tab}|Send, {Tab}|Send, SINDOFORM K60-US|Send, {Tab}|Send, {Tab}|Send, {Tab}|Send, {Tab}|Send, {Tab}|Send, {Tab}|Send, {Tab}|Send, {Tab}|Send, {Tab}|Send, 254|Send, {Tab}|Send, {Tab}|Send, 267|Send, {F3}</v>
      </c>
      <c r="Q34" t="str">
        <f ca="1">IFERROR("Sleep, "&amp;Tabela2[[#This Row],[Delay2]]&amp;"|Send, {Down}|Send, "&amp;SUBSTITUTE(SUBSTITUTE(Tabela2[[#This Row],[Shape]],"+","{+}")," ","")&amp;"|Send, {Tab}|Send, {Tab}|Send, {Tab}|Send, {Tab}|Send, "&amp;Tabela2[[#This Row],[Brand (Reference)]]&amp;"|Send, {Tab}|Send, {Tab}|Send, {Tab}|"&amp;IF(Tabela2[[#This Row],[Brand Type]]="Normal","","Send, "&amp;Tabela2[[#This Row],[Add-On]]&amp;"|")&amp;"Send, {Tab}|Send, {Tab}|Send, {Tab}|Send, {Tab}|Send, {Tab}|Send, {Tab}|Send, "&amp;SUBSTITUTE(Tabela2[[#This Row],[Qnt 1 (Reference)]],".",",")&amp;"|Send, {Tab}|Send, {Tab}|Send, "&amp;SUBSTITUTE(Tabela2[[#This Row],[Qnt 2 (Reference)]],".",",")&amp;"|Send, {F3}","")</f>
        <v>Sleep, 2500|Send, {Down}|Send, K27X6-3X100|Send, {Tab}|Send, {Tab}|Send, {Tab}|Send, {Tab}|Send, SINDOFORM K60-US|Send, {Tab}|Send, {Tab}|Send, {Tab}|Send, {Tab}|Send, {Tab}|Send, {Tab}|Send, {Tab}|Send, {Tab}|Send, {Tab}|Send, 254|Send, {Tab}|Send, {Tab}|Send, 267|Send, {F3}</v>
      </c>
      <c r="R34" t="str">
        <f ca="1">IFERROR(IF(Tabela2[[#This Row],[Item (Reference)]]="","",IF(Tabela2[[#This Row],[Shape]]="-",Tabela2[[#This Row],[Reference2]],Tabela2[[#This Row],[Reference3]])),"")</f>
        <v>Sleep, 2500|Send, {Down}|Send, K27X6-3X100|Send, {Tab}|Send, {Tab}|Send, {Tab}|Send, {Tab}|Send, SINDOFORM K60-US|Send, {Tab}|Send, {Tab}|Send, {Tab}|Send, {Tab}|Send, {Tab}|Send, {Tab}|Send, {Tab}|Send, {Tab}|Send, {Tab}|Send, 254|Send, {Tab}|Send, {Tab}|Send, 267|Send, {F3}</v>
      </c>
      <c r="S34" t="str">
        <f ca="1">IFERROR(IF(Tabela2[[#This Row],[State]]="Automatico",Tabela2[[#This Row],[Reference1]]&amp;"|"&amp;Tabela2[[#This Row],[Reference4]],""),"")</f>
        <v>Sleep, 2500|Send, ^{Left}|Send, 330|Send, ^{Right}|Send, MAT_KONFIG|Send, {Enter}|Sleep, 2500|Send, {Down}|Send, K27X6-3X100|Send, {Tab}|Send, {Tab}|Send, {Tab}|Send, {Tab}|Send, SINDOFORM K60-US|Send, {Tab}|Send, {Tab}|Send, {Tab}|Send, {Tab}|Send, {Tab}|Send, {Tab}|Send, {Tab}|Send, {Tab}|Send, {Tab}|Send, 254|Send, {Tab}|Send, {Tab}|Send, 267|Send, {F3}</v>
      </c>
    </row>
    <row r="35" spans="1:19">
      <c r="A35" cm="1">
        <f t="array" ref="A35">IFERROR(IF(Tabela2[[#This Row],[State]]="Automatico",IF(Tabela2[[#This Row],[Shape]]="","",(ROW()-1)*10),INDEX(Tabela2[[#All],[Item (Reference)]],ROW()-1)),"")</f>
        <v>340</v>
      </c>
      <c r="B35" s="633">
        <f t="shared" si="1"/>
        <v>340</v>
      </c>
      <c r="C35" s="633" t="str">
        <f>IFERROR(IF(Tabela2[[#This Row],[Shape]]="","Automatico",IF(_xlfn.XLOOKUP(Tabela2[[#This Row],[Brand]],BRANDS[Brand],BRANDS[State])="Manual","Manual",IF(Tabela2[[#This Row],[Shape]]="-","Automatico",IF(_xlfn.XLOOKUP(Tabela2[[#This Row],[Shape]],SHAPES[Shape],SHAPES[State])="Manual","Manual","Automatico")))),"")</f>
        <v>Automatico</v>
      </c>
      <c r="D35" s="633" t="str">
        <f>IFERROR(IF(Tabela2[[#This Row],[Shape]]="","Normal",IF(_xlfn.XLOOKUP(Tabela2[[#This Row],[Brand]],BRANDS[Brand],BRANDS[Brand Type])="","Normal",_xlfn.XLOOKUP(Tabela2[[#This Row],[Brand]],BRANDS[Brand],BRANDS[Brand Type]))),"")</f>
        <v>Normal</v>
      </c>
      <c r="E35" s="633" t="s">
        <v>2289</v>
      </c>
      <c r="F35" s="635" t="s">
        <v>2023</v>
      </c>
      <c r="G35" s="633">
        <v>296</v>
      </c>
      <c r="H35" s="636">
        <v>311</v>
      </c>
      <c r="I35">
        <f>IFERROR(IF(Tabela2[[#This Row],[Shape]]="","",IF(Tabela2[[#This Row],[Shape]]="-",Tabela2[[#This Row],[Qnt 1]]/1000,Tabela2[[#This Row],[Qnt 1]])),"")</f>
        <v>296</v>
      </c>
      <c r="J35">
        <f>IFERROR(IF(Tabela2[[#This Row],[Shape]]="","",IF(Tabela2[[#This Row],[Shape]]="-",Tabela2[[#This Row],[Qnt 2]]/1000,Tabela2[[#This Row],[Qnt 2]])),"")</f>
        <v>311</v>
      </c>
      <c r="K35" t="str" cm="1">
        <f t="array" aca="1" ref="K35" ca="1">IFERROR(IF(Tabela2[[#This Row],[Brand Type]]="Normal",Tabela2[[#This Row],[Brand]],_xlfn.CONCAT(MID(RIGHT(_xlfn.CONCAT(MID(Tabela2[[#This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 +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Row],[Brand]]))),1)),1)))-ROW(INDIRECT("1:" &amp;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f>
        <v>SINDOFORM K60-US</v>
      </c>
      <c r="L35" t="str" cm="1">
        <f t="array" aca="1" ref="L35" ca="1">IFERROR(IF(Tabela2[[#This Row],[Brand Type]]="Normal","",_xlfn.CONCAT(MID(LEFT(_xlfn.CONCAT(MID(Tabela2[[#This Row],[Brand]],1 + LEN(Tabela2[[#This Row],[Brand]])-ROW(INDIRECT("1:" &amp; LEN(Tabela2[[#This Row],[Brand]]))),1)),SEARCH(" ",_xlfn.CONCAT(MID(Tabela2[[#This Row],[Brand]],1 + LEN(Tabela2[[#This Row],[Brand]])-ROW(INDIRECT("1:" &amp; LEN(Tabela2[[#This Row],[Brand]]))),1)),1)-1),1 + LEN(LEFT(_xlfn.CONCAT(MID(Tabela2[[#This Row],[Brand]],1 + LEN(Tabela2[[#This Row],[Brand]])-ROW(INDIRECT("1:" &amp; LEN(Tabela2[[#This Row],[Brand]]))),1)),SEARCH(" ",_xlfn.CONCAT(MID(Tabela2[[#This Row],[Brand]],1 + LEN(Tabela2[[#This Row],[Brand]])-ROW(INDIRECT("1:" &amp; LEN(Tabela2[[#This Row],[Brand]]))),1)),1)-1))-ROW(INDIRECT("1:" &amp; LEN(LEFT(_xlfn.CONCAT(MID(Tabela2[[#This Row],[Brand]],1 + LEN(Tabela2[[#This Row],[Brand]])-ROW(INDIRECT("1:" &amp; LEN(Tabela2[[#This Row],[Brand]]))),1)),SEARCH(" ",_xlfn.CONCAT(MID(Tabela2[[#This Row],[Brand]],1 + LEN(Tabela2[[#This Row],[Brand]])-ROW(INDIRECT("1:" &amp; LEN(Tabela2[[#This Row],[Brand]]))),1)),1)-1)))),1))),"")</f>
        <v/>
      </c>
      <c r="M35">
        <f>IFERROR(IF(SAP_FINAL!$C$11="Office",2000,IF(SAP_FINAL!$C$11="VPN",3500,5000)),"")</f>
        <v>2000</v>
      </c>
      <c r="N35">
        <f>IFERROR(IF(SAP_FINAL!$C$11="Office",2500,IF(SAP_FINAL!$C$11="VPN",4000,5000)),"")</f>
        <v>2500</v>
      </c>
      <c r="O35" t="str" cm="1">
        <f t="array" ref="O35">IFERROR(IF(ROW(Tabela2[[#This Row],[Brand]])=2,"Send, "&amp;Tabela2[[#This Row],[Item]]&amp;"|Send, ^{Right}|Send, ^{Right}|Send, ^{Right}|Send, " &amp;LEFT(TRIM(Tabela2[[#This Row],[Brand]]),38)&amp;"|Send, {Enter}",IF(Tabela2[[#This Row],[Item (Reference)]]&lt;&gt;"",IF(INDEX(Tabela2[[#All],[Item (Reference)]],ROW()-1)="",IF(Tabela2[[#This Row],[Shape]]="","Sleep, "&amp;Tabela2[[#This Row],[Delay2]]&amp;"|Send, ^{Left}|Send, "&amp;Tabela2[[#This Row],[Item]]&amp;"|Send, ^{Right}|Send, ^{Right}|Send, ^{Right}|Send, "&amp;LEFT(TRIM(Tabela2[[#This Row],[Brand]]),38)&amp;"|Send, {Enter}","Sleep, "&amp;Tabela2[[#This Row],[Delay1]]&amp;"|Send, ^{Left}|Send, "&amp;Tabela2[[#This Row],[Item]]&amp;"|Send, ^{Right}|Send, MAT_KONFIG|Send, {Enter}"),"Sleep, "&amp;Tabela2[[#This Row],[Delay2]]&amp;"|Send, ^{Left}|Send, "&amp;Tabela2[[#This Row],[Item]]&amp;"|Send, ^{Right}|Send, MAT_KONFIG|Send, {Enter}"),"Sleep, "&amp;Tabela2[[#This Row],[Delay2]]&amp;"|Send, ^{Left}|Send, "&amp;Tabela2[[#This Row],[Item]]&amp;"|Send, ^{Right}|Send, ^{Right}|Send, ^{Right}|Send, "&amp;LEFT(TRIM(Tabela2[[#This Row],[Brand]]),38)&amp;"|Send, {Enter}")),"")</f>
        <v>Sleep, 2500|Send, ^{Left}|Send, 340|Send, ^{Right}|Send, MAT_KONFIG|Send, {Enter}</v>
      </c>
      <c r="P35" t="str">
        <f>IFERROR("Sleep, "&amp;Tabela2[[#This Row],[Delay2]]&amp;"|Send, U|Send, {Tab}|Send, {Tab}|Send, {Tab}|Send, {Tab}|Send, {Tab}|Send, {Tab}|Send, "&amp;TRIM(Tabela2[[#This Row],[Brand]])&amp;"|Send, {Tab}|Send, {Tab}|Send, {Tab}|Send, {Tab}|Send, {Tab}|Send, {Tab}|Send, {Tab}|Send, {Tab}|Send, {Tab}|Send, "&amp;SUBSTITUTE(Tabela2[[#This Row],[Qnt 1 (Reference)]],".",",")&amp;"|Send, {Tab}|Send, {Tab}|Send, "&amp;SUBSTITUTE(Tabela2[[#This Row],[Qnt 2 (Reference)]],".",",")&amp;"|Send, {F3}","")</f>
        <v>Sleep, 2500|Send, U|Send, {Tab}|Send, {Tab}|Send, {Tab}|Send, {Tab}|Send, {Tab}|Send, {Tab}|Send, SINDOFORM K60-US|Send, {Tab}|Send, {Tab}|Send, {Tab}|Send, {Tab}|Send, {Tab}|Send, {Tab}|Send, {Tab}|Send, {Tab}|Send, {Tab}|Send, 296|Send, {Tab}|Send, {Tab}|Send, 311|Send, {F3}</v>
      </c>
      <c r="Q35" t="str">
        <f ca="1">IFERROR("Sleep, "&amp;Tabela2[[#This Row],[Delay2]]&amp;"|Send, {Down}|Send, "&amp;SUBSTITUTE(SUBSTITUTE(Tabela2[[#This Row],[Shape]],"+","{+}")," ","")&amp;"|Send, {Tab}|Send, {Tab}|Send, {Tab}|Send, {Tab}|Send, "&amp;Tabela2[[#This Row],[Brand (Reference)]]&amp;"|Send, {Tab}|Send, {Tab}|Send, {Tab}|"&amp;IF(Tabela2[[#This Row],[Brand Type]]="Normal","","Send, "&amp;Tabela2[[#This Row],[Add-On]]&amp;"|")&amp;"Send, {Tab}|Send, {Tab}|Send, {Tab}|Send, {Tab}|Send, {Tab}|Send, {Tab}|Send, "&amp;SUBSTITUTE(Tabela2[[#This Row],[Qnt 1 (Reference)]],".",",")&amp;"|Send, {Tab}|Send, {Tab}|Send, "&amp;SUBSTITUTE(Tabela2[[#This Row],[Qnt 2 (Reference)]],".",",")&amp;"|Send, {F3}","")</f>
        <v>Sleep, 2500|Send, {Down}|Send, K27X6-5X100|Send, {Tab}|Send, {Tab}|Send, {Tab}|Send, {Tab}|Send, SINDOFORM K60-US|Send, {Tab}|Send, {Tab}|Send, {Tab}|Send, {Tab}|Send, {Tab}|Send, {Tab}|Send, {Tab}|Send, {Tab}|Send, {Tab}|Send, 296|Send, {Tab}|Send, {Tab}|Send, 311|Send, {F3}</v>
      </c>
      <c r="R35" t="str">
        <f ca="1">IFERROR(IF(Tabela2[[#This Row],[Item (Reference)]]="","",IF(Tabela2[[#This Row],[Shape]]="-",Tabela2[[#This Row],[Reference2]],Tabela2[[#This Row],[Reference3]])),"")</f>
        <v>Sleep, 2500|Send, {Down}|Send, K27X6-5X100|Send, {Tab}|Send, {Tab}|Send, {Tab}|Send, {Tab}|Send, SINDOFORM K60-US|Send, {Tab}|Send, {Tab}|Send, {Tab}|Send, {Tab}|Send, {Tab}|Send, {Tab}|Send, {Tab}|Send, {Tab}|Send, {Tab}|Send, 296|Send, {Tab}|Send, {Tab}|Send, 311|Send, {F3}</v>
      </c>
      <c r="S35" t="str">
        <f ca="1">IFERROR(IF(Tabela2[[#This Row],[State]]="Automatico",Tabela2[[#This Row],[Reference1]]&amp;"|"&amp;Tabela2[[#This Row],[Reference4]],""),"")</f>
        <v>Sleep, 2500|Send, ^{Left}|Send, 340|Send, ^{Right}|Send, MAT_KONFIG|Send, {Enter}|Sleep, 2500|Send, {Down}|Send, K27X6-5X100|Send, {Tab}|Send, {Tab}|Send, {Tab}|Send, {Tab}|Send, SINDOFORM K60-US|Send, {Tab}|Send, {Tab}|Send, {Tab}|Send, {Tab}|Send, {Tab}|Send, {Tab}|Send, {Tab}|Send, {Tab}|Send, {Tab}|Send, 296|Send, {Tab}|Send, {Tab}|Send, 311|Send, {F3}</v>
      </c>
    </row>
    <row r="36" spans="1:19">
      <c r="A36" cm="1">
        <f t="array" ref="A36">IFERROR(IF(Tabela2[[#This Row],[State]]="Automatico",IF(Tabela2[[#This Row],[Shape]]="","",(ROW()-1)*10),INDEX(Tabela2[[#All],[Item (Reference)]],ROW()-1)),"")</f>
        <v>350</v>
      </c>
      <c r="B36" s="633">
        <f t="shared" si="1"/>
        <v>350</v>
      </c>
      <c r="C36" s="633" t="str">
        <f>IFERROR(IF(Tabela2[[#This Row],[Shape]]="","Automatico",IF(_xlfn.XLOOKUP(Tabela2[[#This Row],[Brand]],BRANDS[Brand],BRANDS[State])="Manual","Manual",IF(Tabela2[[#This Row],[Shape]]="-","Automatico",IF(_xlfn.XLOOKUP(Tabela2[[#This Row],[Shape]],SHAPES[Shape],SHAPES[State])="Manual","Manual","Automatico")))),"")</f>
        <v>Automatico</v>
      </c>
      <c r="D36" s="633" t="str">
        <f>IFERROR(IF(Tabela2[[#This Row],[Shape]]="","Normal",IF(_xlfn.XLOOKUP(Tabela2[[#This Row],[Brand]],BRANDS[Brand],BRANDS[Brand Type])="","Normal",_xlfn.XLOOKUP(Tabela2[[#This Row],[Brand]],BRANDS[Brand],BRANDS[Brand Type]))),"")</f>
        <v>Normal</v>
      </c>
      <c r="E36" s="633" t="s">
        <v>2289</v>
      </c>
      <c r="F36" s="635" t="s">
        <v>2290</v>
      </c>
      <c r="G36" s="633">
        <v>182</v>
      </c>
      <c r="H36" s="636">
        <v>192</v>
      </c>
      <c r="I36">
        <f>IFERROR(IF(Tabela2[[#This Row],[Shape]]="","",IF(Tabela2[[#This Row],[Shape]]="-",Tabela2[[#This Row],[Qnt 1]]/1000,Tabela2[[#This Row],[Qnt 1]])),"")</f>
        <v>182</v>
      </c>
      <c r="J36">
        <f>IFERROR(IF(Tabela2[[#This Row],[Shape]]="","",IF(Tabela2[[#This Row],[Shape]]="-",Tabela2[[#This Row],[Qnt 2]]/1000,Tabela2[[#This Row],[Qnt 2]])),"")</f>
        <v>192</v>
      </c>
      <c r="K36" t="str" cm="1">
        <f t="array" aca="1" ref="K36" ca="1">IFERROR(IF(Tabela2[[#This Row],[Brand Type]]="Normal",Tabela2[[#This Row],[Brand]],_xlfn.CONCAT(MID(RIGHT(_xlfn.CONCAT(MID(Tabela2[[#This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 +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Row],[Brand]]))),1)),1)))-ROW(INDIRECT("1:" &amp;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f>
        <v>SINDOFORM K60-US</v>
      </c>
      <c r="L36" t="str" cm="1">
        <f t="array" aca="1" ref="L36" ca="1">IFERROR(IF(Tabela2[[#This Row],[Brand Type]]="Normal","",_xlfn.CONCAT(MID(LEFT(_xlfn.CONCAT(MID(Tabela2[[#This Row],[Brand]],1 + LEN(Tabela2[[#This Row],[Brand]])-ROW(INDIRECT("1:" &amp; LEN(Tabela2[[#This Row],[Brand]]))),1)),SEARCH(" ",_xlfn.CONCAT(MID(Tabela2[[#This Row],[Brand]],1 + LEN(Tabela2[[#This Row],[Brand]])-ROW(INDIRECT("1:" &amp; LEN(Tabela2[[#This Row],[Brand]]))),1)),1)-1),1 + LEN(LEFT(_xlfn.CONCAT(MID(Tabela2[[#This Row],[Brand]],1 + LEN(Tabela2[[#This Row],[Brand]])-ROW(INDIRECT("1:" &amp; LEN(Tabela2[[#This Row],[Brand]]))),1)),SEARCH(" ",_xlfn.CONCAT(MID(Tabela2[[#This Row],[Brand]],1 + LEN(Tabela2[[#This Row],[Brand]])-ROW(INDIRECT("1:" &amp; LEN(Tabela2[[#This Row],[Brand]]))),1)),1)-1))-ROW(INDIRECT("1:" &amp; LEN(LEFT(_xlfn.CONCAT(MID(Tabela2[[#This Row],[Brand]],1 + LEN(Tabela2[[#This Row],[Brand]])-ROW(INDIRECT("1:" &amp; LEN(Tabela2[[#This Row],[Brand]]))),1)),SEARCH(" ",_xlfn.CONCAT(MID(Tabela2[[#This Row],[Brand]],1 + LEN(Tabela2[[#This Row],[Brand]])-ROW(INDIRECT("1:" &amp; LEN(Tabela2[[#This Row],[Brand]]))),1)),1)-1)))),1))),"")</f>
        <v/>
      </c>
      <c r="M36">
        <f>IFERROR(IF(SAP_FINAL!$C$11="Office",2000,IF(SAP_FINAL!$C$11="VPN",3500,5000)),"")</f>
        <v>2000</v>
      </c>
      <c r="N36">
        <f>IFERROR(IF(SAP_FINAL!$C$11="Office",2500,IF(SAP_FINAL!$C$11="VPN",4000,5000)),"")</f>
        <v>2500</v>
      </c>
      <c r="O36" t="str" cm="1">
        <f t="array" ref="O36">IFERROR(IF(ROW(Tabela2[[#This Row],[Brand]])=2,"Send, "&amp;Tabela2[[#This Row],[Item]]&amp;"|Send, ^{Right}|Send, ^{Right}|Send, ^{Right}|Send, " &amp;LEFT(TRIM(Tabela2[[#This Row],[Brand]]),38)&amp;"|Send, {Enter}",IF(Tabela2[[#This Row],[Item (Reference)]]&lt;&gt;"",IF(INDEX(Tabela2[[#All],[Item (Reference)]],ROW()-1)="",IF(Tabela2[[#This Row],[Shape]]="","Sleep, "&amp;Tabela2[[#This Row],[Delay2]]&amp;"|Send, ^{Left}|Send, "&amp;Tabela2[[#This Row],[Item]]&amp;"|Send, ^{Right}|Send, ^{Right}|Send, ^{Right}|Send, "&amp;LEFT(TRIM(Tabela2[[#This Row],[Brand]]),38)&amp;"|Send, {Enter}","Sleep, "&amp;Tabela2[[#This Row],[Delay1]]&amp;"|Send, ^{Left}|Send, "&amp;Tabela2[[#This Row],[Item]]&amp;"|Send, ^{Right}|Send, MAT_KONFIG|Send, {Enter}"),"Sleep, "&amp;Tabela2[[#This Row],[Delay2]]&amp;"|Send, ^{Left}|Send, "&amp;Tabela2[[#This Row],[Item]]&amp;"|Send, ^{Right}|Send, MAT_KONFIG|Send, {Enter}"),"Sleep, "&amp;Tabela2[[#This Row],[Delay2]]&amp;"|Send, ^{Left}|Send, "&amp;Tabela2[[#This Row],[Item]]&amp;"|Send, ^{Right}|Send, ^{Right}|Send, ^{Right}|Send, "&amp;LEFT(TRIM(Tabela2[[#This Row],[Brand]]),38)&amp;"|Send, {Enter}")),"")</f>
        <v>Sleep, 2500|Send, ^{Left}|Send, 350|Send, ^{Right}|Send, MAT_KONFIG|Send, {Enter}</v>
      </c>
      <c r="P36" t="str">
        <f>IFERROR("Sleep, "&amp;Tabela2[[#This Row],[Delay2]]&amp;"|Send, U|Send, {Tab}|Send, {Tab}|Send, {Tab}|Send, {Tab}|Send, {Tab}|Send, {Tab}|Send, "&amp;TRIM(Tabela2[[#This Row],[Brand]])&amp;"|Send, {Tab}|Send, {Tab}|Send, {Tab}|Send, {Tab}|Send, {Tab}|Send, {Tab}|Send, {Tab}|Send, {Tab}|Send, {Tab}|Send, "&amp;SUBSTITUTE(Tabela2[[#This Row],[Qnt 1 (Reference)]],".",",")&amp;"|Send, {Tab}|Send, {Tab}|Send, "&amp;SUBSTITUTE(Tabela2[[#This Row],[Qnt 2 (Reference)]],".",",")&amp;"|Send, {F3}","")</f>
        <v>Sleep, 2500|Send, U|Send, {Tab}|Send, {Tab}|Send, {Tab}|Send, {Tab}|Send, {Tab}|Send, {Tab}|Send, SINDOFORM K60-US|Send, {Tab}|Send, {Tab}|Send, {Tab}|Send, {Tab}|Send, {Tab}|Send, {Tab}|Send, {Tab}|Send, {Tab}|Send, {Tab}|Send, 182|Send, {Tab}|Send, {Tab}|Send, 192|Send, {F3}</v>
      </c>
      <c r="Q36" t="str">
        <f ca="1">IFERROR("Sleep, "&amp;Tabela2[[#This Row],[Delay2]]&amp;"|Send, {Down}|Send, "&amp;SUBSTITUTE(SUBSTITUTE(Tabela2[[#This Row],[Shape]],"+","{+}")," ","")&amp;"|Send, {Tab}|Send, {Tab}|Send, {Tab}|Send, {Tab}|Send, "&amp;Tabela2[[#This Row],[Brand (Reference)]]&amp;"|Send, {Tab}|Send, {Tab}|Send, {Tab}|"&amp;IF(Tabela2[[#This Row],[Brand Type]]="Normal","","Send, "&amp;Tabela2[[#This Row],[Add-On]]&amp;"|")&amp;"Send, {Tab}|Send, {Tab}|Send, {Tab}|Send, {Tab}|Send, {Tab}|Send, {Tab}|Send, "&amp;SUBSTITUTE(Tabela2[[#This Row],[Qnt 1 (Reference)]],".",",")&amp;"|Send, {Tab}|Send, {Tab}|Send, "&amp;SUBSTITUTE(Tabela2[[#This Row],[Qnt 2 (Reference)]],".",",")&amp;"|Send, {F3}","")</f>
        <v>Sleep, 2500|Send, {Down}|Send, K30X6-3X100|Send, {Tab}|Send, {Tab}|Send, {Tab}|Send, {Tab}|Send, SINDOFORM K60-US|Send, {Tab}|Send, {Tab}|Send, {Tab}|Send, {Tab}|Send, {Tab}|Send, {Tab}|Send, {Tab}|Send, {Tab}|Send, {Tab}|Send, 182|Send, {Tab}|Send, {Tab}|Send, 192|Send, {F3}</v>
      </c>
      <c r="R36" t="str">
        <f ca="1">IFERROR(IF(Tabela2[[#This Row],[Item (Reference)]]="","",IF(Tabela2[[#This Row],[Shape]]="-",Tabela2[[#This Row],[Reference2]],Tabela2[[#This Row],[Reference3]])),"")</f>
        <v>Sleep, 2500|Send, {Down}|Send, K30X6-3X100|Send, {Tab}|Send, {Tab}|Send, {Tab}|Send, {Tab}|Send, SINDOFORM K60-US|Send, {Tab}|Send, {Tab}|Send, {Tab}|Send, {Tab}|Send, {Tab}|Send, {Tab}|Send, {Tab}|Send, {Tab}|Send, {Tab}|Send, 182|Send, {Tab}|Send, {Tab}|Send, 192|Send, {F3}</v>
      </c>
      <c r="S36" t="str">
        <f ca="1">IFERROR(IF(Tabela2[[#This Row],[State]]="Automatico",Tabela2[[#This Row],[Reference1]]&amp;"|"&amp;Tabela2[[#This Row],[Reference4]],""),"")</f>
        <v>Sleep, 2500|Send, ^{Left}|Send, 350|Send, ^{Right}|Send, MAT_KONFIG|Send, {Enter}|Sleep, 2500|Send, {Down}|Send, K30X6-3X100|Send, {Tab}|Send, {Tab}|Send, {Tab}|Send, {Tab}|Send, SINDOFORM K60-US|Send, {Tab}|Send, {Tab}|Send, {Tab}|Send, {Tab}|Send, {Tab}|Send, {Tab}|Send, {Tab}|Send, {Tab}|Send, {Tab}|Send, 182|Send, {Tab}|Send, {Tab}|Send, 192|Send, {F3}</v>
      </c>
    </row>
    <row r="37" spans="1:19">
      <c r="A37" cm="1">
        <f t="array" ref="A37">IFERROR(IF(Tabela2[[#This Row],[State]]="Automatico",IF(Tabela2[[#This Row],[Shape]]="","",(ROW()-1)*10),INDEX(Tabela2[[#All],[Item (Reference)]],ROW()-1)),"")</f>
        <v>360</v>
      </c>
      <c r="B37" s="633">
        <f t="shared" si="1"/>
        <v>360</v>
      </c>
      <c r="C37" s="633" t="str">
        <f>IFERROR(IF(Tabela2[[#This Row],[Shape]]="","Automatico",IF(_xlfn.XLOOKUP(Tabela2[[#This Row],[Brand]],BRANDS[Brand],BRANDS[State])="Manual","Manual",IF(Tabela2[[#This Row],[Shape]]="-","Automatico",IF(_xlfn.XLOOKUP(Tabela2[[#This Row],[Shape]],SHAPES[Shape],SHAPES[State])="Manual","Manual","Automatico")))),"")</f>
        <v>Automatico</v>
      </c>
      <c r="D37" s="633" t="str">
        <f>IFERROR(IF(Tabela2[[#This Row],[Shape]]="","Normal",IF(_xlfn.XLOOKUP(Tabela2[[#This Row],[Brand]],BRANDS[Brand],BRANDS[Brand Type])="","Normal",_xlfn.XLOOKUP(Tabela2[[#This Row],[Brand]],BRANDS[Brand],BRANDS[Brand Type]))),"")</f>
        <v>Normal</v>
      </c>
      <c r="E37" s="633" t="s">
        <v>2289</v>
      </c>
      <c r="F37" s="635" t="s">
        <v>2293</v>
      </c>
      <c r="G37" s="633">
        <v>130</v>
      </c>
      <c r="H37" s="636">
        <v>140</v>
      </c>
      <c r="I37">
        <f>IFERROR(IF(Tabela2[[#This Row],[Shape]]="","",IF(Tabela2[[#This Row],[Shape]]="-",Tabela2[[#This Row],[Qnt 1]]/1000,Tabela2[[#This Row],[Qnt 1]])),"")</f>
        <v>130</v>
      </c>
      <c r="J37">
        <f>IFERROR(IF(Tabela2[[#This Row],[Shape]]="","",IF(Tabela2[[#This Row],[Shape]]="-",Tabela2[[#This Row],[Qnt 2]]/1000,Tabela2[[#This Row],[Qnt 2]])),"")</f>
        <v>140</v>
      </c>
      <c r="K37" t="str" cm="1">
        <f t="array" aca="1" ref="K37" ca="1">IFERROR(IF(Tabela2[[#This Row],[Brand Type]]="Normal",Tabela2[[#This Row],[Brand]],_xlfn.CONCAT(MID(RIGHT(_xlfn.CONCAT(MID(Tabela2[[#This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 +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Row],[Brand]]))),1)),1)))-ROW(INDIRECT("1:" &amp;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f>
        <v>SINDOFORM K60-US</v>
      </c>
      <c r="L37" t="str" cm="1">
        <f t="array" aca="1" ref="L37" ca="1">IFERROR(IF(Tabela2[[#This Row],[Brand Type]]="Normal","",_xlfn.CONCAT(MID(LEFT(_xlfn.CONCAT(MID(Tabela2[[#This Row],[Brand]],1 + LEN(Tabela2[[#This Row],[Brand]])-ROW(INDIRECT("1:" &amp; LEN(Tabela2[[#This Row],[Brand]]))),1)),SEARCH(" ",_xlfn.CONCAT(MID(Tabela2[[#This Row],[Brand]],1 + LEN(Tabela2[[#This Row],[Brand]])-ROW(INDIRECT("1:" &amp; LEN(Tabela2[[#This Row],[Brand]]))),1)),1)-1),1 + LEN(LEFT(_xlfn.CONCAT(MID(Tabela2[[#This Row],[Brand]],1 + LEN(Tabela2[[#This Row],[Brand]])-ROW(INDIRECT("1:" &amp; LEN(Tabela2[[#This Row],[Brand]]))),1)),SEARCH(" ",_xlfn.CONCAT(MID(Tabela2[[#This Row],[Brand]],1 + LEN(Tabela2[[#This Row],[Brand]])-ROW(INDIRECT("1:" &amp; LEN(Tabela2[[#This Row],[Brand]]))),1)),1)-1))-ROW(INDIRECT("1:" &amp; LEN(LEFT(_xlfn.CONCAT(MID(Tabela2[[#This Row],[Brand]],1 + LEN(Tabela2[[#This Row],[Brand]])-ROW(INDIRECT("1:" &amp; LEN(Tabela2[[#This Row],[Brand]]))),1)),SEARCH(" ",_xlfn.CONCAT(MID(Tabela2[[#This Row],[Brand]],1 + LEN(Tabela2[[#This Row],[Brand]])-ROW(INDIRECT("1:" &amp; LEN(Tabela2[[#This Row],[Brand]]))),1)),1)-1)))),1))),"")</f>
        <v/>
      </c>
      <c r="M37">
        <f>IFERROR(IF(SAP_FINAL!$C$11="Office",2000,IF(SAP_FINAL!$C$11="VPN",3500,5000)),"")</f>
        <v>2000</v>
      </c>
      <c r="N37">
        <f>IFERROR(IF(SAP_FINAL!$C$11="Office",2500,IF(SAP_FINAL!$C$11="VPN",4000,5000)),"")</f>
        <v>2500</v>
      </c>
      <c r="O37" t="str" cm="1">
        <f t="array" ref="O37">IFERROR(IF(ROW(Tabela2[[#This Row],[Brand]])=2,"Send, "&amp;Tabela2[[#This Row],[Item]]&amp;"|Send, ^{Right}|Send, ^{Right}|Send, ^{Right}|Send, " &amp;LEFT(TRIM(Tabela2[[#This Row],[Brand]]),38)&amp;"|Send, {Enter}",IF(Tabela2[[#This Row],[Item (Reference)]]&lt;&gt;"",IF(INDEX(Tabela2[[#All],[Item (Reference)]],ROW()-1)="",IF(Tabela2[[#This Row],[Shape]]="","Sleep, "&amp;Tabela2[[#This Row],[Delay2]]&amp;"|Send, ^{Left}|Send, "&amp;Tabela2[[#This Row],[Item]]&amp;"|Send, ^{Right}|Send, ^{Right}|Send, ^{Right}|Send, "&amp;LEFT(TRIM(Tabela2[[#This Row],[Brand]]),38)&amp;"|Send, {Enter}","Sleep, "&amp;Tabela2[[#This Row],[Delay1]]&amp;"|Send, ^{Left}|Send, "&amp;Tabela2[[#This Row],[Item]]&amp;"|Send, ^{Right}|Send, MAT_KONFIG|Send, {Enter}"),"Sleep, "&amp;Tabela2[[#This Row],[Delay2]]&amp;"|Send, ^{Left}|Send, "&amp;Tabela2[[#This Row],[Item]]&amp;"|Send, ^{Right}|Send, MAT_KONFIG|Send, {Enter}"),"Sleep, "&amp;Tabela2[[#This Row],[Delay2]]&amp;"|Send, ^{Left}|Send, "&amp;Tabela2[[#This Row],[Item]]&amp;"|Send, ^{Right}|Send, ^{Right}|Send, ^{Right}|Send, "&amp;LEFT(TRIM(Tabela2[[#This Row],[Brand]]),38)&amp;"|Send, {Enter}")),"")</f>
        <v>Sleep, 2500|Send, ^{Left}|Send, 360|Send, ^{Right}|Send, MAT_KONFIG|Send, {Enter}</v>
      </c>
      <c r="P37" t="str">
        <f>IFERROR("Sleep, "&amp;Tabela2[[#This Row],[Delay2]]&amp;"|Send, U|Send, {Tab}|Send, {Tab}|Send, {Tab}|Send, {Tab}|Send, {Tab}|Send, {Tab}|Send, "&amp;TRIM(Tabela2[[#This Row],[Brand]])&amp;"|Send, {Tab}|Send, {Tab}|Send, {Tab}|Send, {Tab}|Send, {Tab}|Send, {Tab}|Send, {Tab}|Send, {Tab}|Send, {Tab}|Send, "&amp;SUBSTITUTE(Tabela2[[#This Row],[Qnt 1 (Reference)]],".",",")&amp;"|Send, {Tab}|Send, {Tab}|Send, "&amp;SUBSTITUTE(Tabela2[[#This Row],[Qnt 2 (Reference)]],".",",")&amp;"|Send, {F3}","")</f>
        <v>Sleep, 2500|Send, U|Send, {Tab}|Send, {Tab}|Send, {Tab}|Send, {Tab}|Send, {Tab}|Send, {Tab}|Send, SINDOFORM K60-US|Send, {Tab}|Send, {Tab}|Send, {Tab}|Send, {Tab}|Send, {Tab}|Send, {Tab}|Send, {Tab}|Send, {Tab}|Send, {Tab}|Send, 130|Send, {Tab}|Send, {Tab}|Send, 140|Send, {F3}</v>
      </c>
      <c r="Q37" t="str">
        <f ca="1">IFERROR("Sleep, "&amp;Tabela2[[#This Row],[Delay2]]&amp;"|Send, {Down}|Send, "&amp;SUBSTITUTE(SUBSTITUTE(Tabela2[[#This Row],[Shape]],"+","{+}")," ","")&amp;"|Send, {Tab}|Send, {Tab}|Send, {Tab}|Send, {Tab}|Send, "&amp;Tabela2[[#This Row],[Brand (Reference)]]&amp;"|Send, {Tab}|Send, {Tab}|Send, {Tab}|"&amp;IF(Tabela2[[#This Row],[Brand Type]]="Normal","","Send, "&amp;Tabela2[[#This Row],[Add-On]]&amp;"|")&amp;"Send, {Tab}|Send, {Tab}|Send, {Tab}|Send, {Tab}|Send, {Tab}|Send, {Tab}|Send, "&amp;SUBSTITUTE(Tabela2[[#This Row],[Qnt 1 (Reference)]],".",",")&amp;"|Send, {Tab}|Send, {Tab}|Send, "&amp;SUBSTITUTE(Tabela2[[#This Row],[Qnt 2 (Reference)]],".",",")&amp;"|Send, {F3}","")</f>
        <v>Sleep, 2500|Send, {Down}|Send, K30X6-5X100|Send, {Tab}|Send, {Tab}|Send, {Tab}|Send, {Tab}|Send, SINDOFORM K60-US|Send, {Tab}|Send, {Tab}|Send, {Tab}|Send, {Tab}|Send, {Tab}|Send, {Tab}|Send, {Tab}|Send, {Tab}|Send, {Tab}|Send, 130|Send, {Tab}|Send, {Tab}|Send, 140|Send, {F3}</v>
      </c>
      <c r="R37" t="str">
        <f ca="1">IFERROR(IF(Tabela2[[#This Row],[Item (Reference)]]="","",IF(Tabela2[[#This Row],[Shape]]="-",Tabela2[[#This Row],[Reference2]],Tabela2[[#This Row],[Reference3]])),"")</f>
        <v>Sleep, 2500|Send, {Down}|Send, K30X6-5X100|Send, {Tab}|Send, {Tab}|Send, {Tab}|Send, {Tab}|Send, SINDOFORM K60-US|Send, {Tab}|Send, {Tab}|Send, {Tab}|Send, {Tab}|Send, {Tab}|Send, {Tab}|Send, {Tab}|Send, {Tab}|Send, {Tab}|Send, 130|Send, {Tab}|Send, {Tab}|Send, 140|Send, {F3}</v>
      </c>
      <c r="S37" t="str">
        <f ca="1">IFERROR(IF(Tabela2[[#This Row],[State]]="Automatico",Tabela2[[#This Row],[Reference1]]&amp;"|"&amp;Tabela2[[#This Row],[Reference4]],""),"")</f>
        <v>Sleep, 2500|Send, ^{Left}|Send, 360|Send, ^{Right}|Send, MAT_KONFIG|Send, {Enter}|Sleep, 2500|Send, {Down}|Send, K30X6-5X100|Send, {Tab}|Send, {Tab}|Send, {Tab}|Send, {Tab}|Send, SINDOFORM K60-US|Send, {Tab}|Send, {Tab}|Send, {Tab}|Send, {Tab}|Send, {Tab}|Send, {Tab}|Send, {Tab}|Send, {Tab}|Send, {Tab}|Send, 130|Send, {Tab}|Send, {Tab}|Send, 140|Send, {F3}</v>
      </c>
    </row>
    <row r="38" spans="1:19">
      <c r="A38" cm="1">
        <f t="array" ref="A38">IFERROR(IF(Tabela2[[#This Row],[State]]="Automatico",IF(Tabela2[[#This Row],[Shape]]="","",(ROW()-1)*10),INDEX(Tabela2[[#All],[Item (Reference)]],ROW()-1)),"")</f>
        <v>370</v>
      </c>
      <c r="B38" s="633">
        <f t="shared" si="1"/>
        <v>370</v>
      </c>
      <c r="C38" s="633" t="str">
        <f>IFERROR(IF(Tabela2[[#This Row],[Shape]]="","Automatico",IF(_xlfn.XLOOKUP(Tabela2[[#This Row],[Brand]],BRANDS[Brand],BRANDS[State])="Manual","Manual",IF(Tabela2[[#This Row],[Shape]]="-","Automatico",IF(_xlfn.XLOOKUP(Tabela2[[#This Row],[Shape]],SHAPES[Shape],SHAPES[State])="Manual","Manual","Automatico")))),"")</f>
        <v>Automatico</v>
      </c>
      <c r="D38" s="633" t="str">
        <f>IFERROR(IF(Tabela2[[#This Row],[Shape]]="","Normal",IF(_xlfn.XLOOKUP(Tabela2[[#This Row],[Brand]],BRANDS[Brand],BRANDS[Brand Type])="","Normal",_xlfn.XLOOKUP(Tabela2[[#This Row],[Brand]],BRANDS[Brand],BRANDS[Brand Type]))),"")</f>
        <v>Normal</v>
      </c>
      <c r="E38" s="633" t="s">
        <v>2297</v>
      </c>
      <c r="F38" s="635" t="s">
        <v>16</v>
      </c>
      <c r="G38" s="633">
        <v>500</v>
      </c>
      <c r="H38" s="636">
        <v>550</v>
      </c>
      <c r="I38">
        <f>IFERROR(IF(Tabela2[[#This Row],[Shape]]="","",IF(Tabela2[[#This Row],[Shape]]="-",Tabela2[[#This Row],[Qnt 1]]/1000,Tabela2[[#This Row],[Qnt 1]])),"")</f>
        <v>0.5</v>
      </c>
      <c r="J38">
        <f>IFERROR(IF(Tabela2[[#This Row],[Shape]]="","",IF(Tabela2[[#This Row],[Shape]]="-",Tabela2[[#This Row],[Qnt 2]]/1000,Tabela2[[#This Row],[Qnt 2]])),"")</f>
        <v>0.55000000000000004</v>
      </c>
      <c r="K38" t="str" cm="1">
        <f t="array" aca="1" ref="K38" ca="1">IFERROR(IF(Tabela2[[#This Row],[Brand Type]]="Normal",Tabela2[[#This Row],[Brand]],_xlfn.CONCAT(MID(RIGHT(_xlfn.CONCAT(MID(Tabela2[[#This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 +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Row],[Brand]]))),1)),1)))-ROW(INDIRECT("1:" &amp;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f>
        <v>JEBCO SLAB D1-US</v>
      </c>
      <c r="L38" t="str" cm="1">
        <f t="array" aca="1" ref="L38" ca="1">IFERROR(IF(Tabela2[[#This Row],[Brand Type]]="Normal","",_xlfn.CONCAT(MID(LEFT(_xlfn.CONCAT(MID(Tabela2[[#This Row],[Brand]],1 + LEN(Tabela2[[#This Row],[Brand]])-ROW(INDIRECT("1:" &amp; LEN(Tabela2[[#This Row],[Brand]]))),1)),SEARCH(" ",_xlfn.CONCAT(MID(Tabela2[[#This Row],[Brand]],1 + LEN(Tabela2[[#This Row],[Brand]])-ROW(INDIRECT("1:" &amp; LEN(Tabela2[[#This Row],[Brand]]))),1)),1)-1),1 + LEN(LEFT(_xlfn.CONCAT(MID(Tabela2[[#This Row],[Brand]],1 + LEN(Tabela2[[#This Row],[Brand]])-ROW(INDIRECT("1:" &amp; LEN(Tabela2[[#This Row],[Brand]]))),1)),SEARCH(" ",_xlfn.CONCAT(MID(Tabela2[[#This Row],[Brand]],1 + LEN(Tabela2[[#This Row],[Brand]])-ROW(INDIRECT("1:" &amp; LEN(Tabela2[[#This Row],[Brand]]))),1)),1)-1))-ROW(INDIRECT("1:" &amp; LEN(LEFT(_xlfn.CONCAT(MID(Tabela2[[#This Row],[Brand]],1 + LEN(Tabela2[[#This Row],[Brand]])-ROW(INDIRECT("1:" &amp; LEN(Tabela2[[#This Row],[Brand]]))),1)),SEARCH(" ",_xlfn.CONCAT(MID(Tabela2[[#This Row],[Brand]],1 + LEN(Tabela2[[#This Row],[Brand]])-ROW(INDIRECT("1:" &amp; LEN(Tabela2[[#This Row],[Brand]]))),1)),1)-1)))),1))),"")</f>
        <v/>
      </c>
      <c r="M38">
        <f>IFERROR(IF(SAP_FINAL!$C$11="Office",2000,IF(SAP_FINAL!$C$11="VPN",3500,5000)),"")</f>
        <v>2000</v>
      </c>
      <c r="N38">
        <f>IFERROR(IF(SAP_FINAL!$C$11="Office",2500,IF(SAP_FINAL!$C$11="VPN",4000,5000)),"")</f>
        <v>2500</v>
      </c>
      <c r="O38" t="str" cm="1">
        <f t="array" ref="O38">IFERROR(IF(ROW(Tabela2[[#This Row],[Brand]])=2,"Send, "&amp;Tabela2[[#This Row],[Item]]&amp;"|Send, ^{Right}|Send, ^{Right}|Send, ^{Right}|Send, " &amp;LEFT(TRIM(Tabela2[[#This Row],[Brand]]),38)&amp;"|Send, {Enter}",IF(Tabela2[[#This Row],[Item (Reference)]]&lt;&gt;"",IF(INDEX(Tabela2[[#All],[Item (Reference)]],ROW()-1)="",IF(Tabela2[[#This Row],[Shape]]="","Sleep, "&amp;Tabela2[[#This Row],[Delay2]]&amp;"|Send, ^{Left}|Send, "&amp;Tabela2[[#This Row],[Item]]&amp;"|Send, ^{Right}|Send, ^{Right}|Send, ^{Right}|Send, "&amp;LEFT(TRIM(Tabela2[[#This Row],[Brand]]),38)&amp;"|Send, {Enter}","Sleep, "&amp;Tabela2[[#This Row],[Delay1]]&amp;"|Send, ^{Left}|Send, "&amp;Tabela2[[#This Row],[Item]]&amp;"|Send, ^{Right}|Send, MAT_KONFIG|Send, {Enter}"),"Sleep, "&amp;Tabela2[[#This Row],[Delay2]]&amp;"|Send, ^{Left}|Send, "&amp;Tabela2[[#This Row],[Item]]&amp;"|Send, ^{Right}|Send, MAT_KONFIG|Send, {Enter}"),"Sleep, "&amp;Tabela2[[#This Row],[Delay2]]&amp;"|Send, ^{Left}|Send, "&amp;Tabela2[[#This Row],[Item]]&amp;"|Send, ^{Right}|Send, ^{Right}|Send, ^{Right}|Send, "&amp;LEFT(TRIM(Tabela2[[#This Row],[Brand]]),38)&amp;"|Send, {Enter}")),"")</f>
        <v>Sleep, 2500|Send, ^{Left}|Send, 370|Send, ^{Right}|Send, MAT_KONFIG|Send, {Enter}</v>
      </c>
      <c r="P38" t="str">
        <f>IFERROR("Sleep, "&amp;Tabela2[[#This Row],[Delay2]]&amp;"|Send, U|Send, {Tab}|Send, {Tab}|Send, {Tab}|Send, {Tab}|Send, {Tab}|Send, {Tab}|Send, "&amp;TRIM(Tabela2[[#This Row],[Brand]])&amp;"|Send, {Tab}|Send, {Tab}|Send, {Tab}|Send, {Tab}|Send, {Tab}|Send, {Tab}|Send, {Tab}|Send, {Tab}|Send, {Tab}|Send, "&amp;SUBSTITUTE(Tabela2[[#This Row],[Qnt 1 (Reference)]],".",",")&amp;"|Send, {Tab}|Send, {Tab}|Send, "&amp;SUBSTITUTE(Tabela2[[#This Row],[Qnt 2 (Reference)]],".",",")&amp;"|Send, {F3}","")</f>
        <v>Sleep, 2500|Send, U|Send, {Tab}|Send, {Tab}|Send, {Tab}|Send, {Tab}|Send, {Tab}|Send, {Tab}|Send, JEBCO SLAB D1-US|Send, {Tab}|Send, {Tab}|Send, {Tab}|Send, {Tab}|Send, {Tab}|Send, {Tab}|Send, {Tab}|Send, {Tab}|Send, {Tab}|Send, 0,5|Send, {Tab}|Send, {Tab}|Send, 0,55|Send, {F3}</v>
      </c>
      <c r="Q38" t="str">
        <f ca="1">IFERROR("Sleep, "&amp;Tabela2[[#This Row],[Delay2]]&amp;"|Send, {Down}|Send, "&amp;SUBSTITUTE(SUBSTITUTE(Tabela2[[#This Row],[Shape]],"+","{+}")," ","")&amp;"|Send, {Tab}|Send, {Tab}|Send, {Tab}|Send, {Tab}|Send, "&amp;Tabela2[[#This Row],[Brand (Reference)]]&amp;"|Send, {Tab}|Send, {Tab}|Send, {Tab}|"&amp;IF(Tabela2[[#This Row],[Brand Type]]="Normal","","Send, "&amp;Tabela2[[#This Row],[Add-On]]&amp;"|")&amp;"Send, {Tab}|Send, {Tab}|Send, {Tab}|Send, {Tab}|Send, {Tab}|Send, {Tab}|Send, "&amp;SUBSTITUTE(Tabela2[[#This Row],[Qnt 1 (Reference)]],".",",")&amp;"|Send, {Tab}|Send, {Tab}|Send, "&amp;SUBSTITUTE(Tabela2[[#This Row],[Qnt 2 (Reference)]],".",",")&amp;"|Send, {F3}","")</f>
        <v>Sleep, 2500|Send, {Down}|Send, -|Send, {Tab}|Send, {Tab}|Send, {Tab}|Send, {Tab}|Send, JEBCO SLAB D1-US|Send, {Tab}|Send, {Tab}|Send, {Tab}|Send, {Tab}|Send, {Tab}|Send, {Tab}|Send, {Tab}|Send, {Tab}|Send, {Tab}|Send, 0,5|Send, {Tab}|Send, {Tab}|Send, 0,55|Send, {F3}</v>
      </c>
      <c r="R38" t="str">
        <f>IFERROR(IF(Tabela2[[#This Row],[Item (Reference)]]="","",IF(Tabela2[[#This Row],[Shape]]="-",Tabela2[[#This Row],[Reference2]],Tabela2[[#This Row],[Reference3]])),"")</f>
        <v>Sleep, 2500|Send, U|Send, {Tab}|Send, {Tab}|Send, {Tab}|Send, {Tab}|Send, {Tab}|Send, {Tab}|Send, JEBCO SLAB D1-US|Send, {Tab}|Send, {Tab}|Send, {Tab}|Send, {Tab}|Send, {Tab}|Send, {Tab}|Send, {Tab}|Send, {Tab}|Send, {Tab}|Send, 0,5|Send, {Tab}|Send, {Tab}|Send, 0,55|Send, {F3}</v>
      </c>
      <c r="S38" t="str">
        <f>IFERROR(IF(Tabela2[[#This Row],[State]]="Automatico",Tabela2[[#This Row],[Reference1]]&amp;"|"&amp;Tabela2[[#This Row],[Reference4]],""),"")</f>
        <v>Sleep, 2500|Send, ^{Left}|Send, 370|Send, ^{Right}|Send, MAT_KONFIG|Send, {Enter}|Sleep, 2500|Send, U|Send, {Tab}|Send, {Tab}|Send, {Tab}|Send, {Tab}|Send, {Tab}|Send, {Tab}|Send, JEBCO SLAB D1-US|Send, {Tab}|Send, {Tab}|Send, {Tab}|Send, {Tab}|Send, {Tab}|Send, {Tab}|Send, {Tab}|Send, {Tab}|Send, {Tab}|Send, 0,5|Send, {Tab}|Send, {Tab}|Send, 0,55|Send, {F3}</v>
      </c>
    </row>
  </sheetData>
  <conditionalFormatting sqref="A2:S38">
    <cfRule type="expression" dxfId="7" priority="1">
      <formula>$F2=""</formula>
    </cfRule>
    <cfRule type="expression" dxfId="6" priority="2">
      <formula>$C2="Manual"</formula>
    </cfRule>
    <cfRule type="expression" dxfId="5" priority="3">
      <formula>$D2="Add-On"</formula>
    </cfRule>
  </conditionalFormatting>
  <pageMargins left="0.511811024" right="0.511811024" top="0.78740157499999996" bottom="0.78740157499999996" header="0.31496062000000002" footer="0.31496062000000002"/>
  <pageSetup paperSize="9"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B59F9A-A276-45B6-A649-108D0799A144}">
  <sheetPr codeName="Planilha4"/>
  <dimension ref="A1:A38"/>
  <sheetViews>
    <sheetView topLeftCell="A2" workbookViewId="0">
      <selection activeCell="O39" sqref="O39"/>
    </sheetView>
  </sheetViews>
  <sheetFormatPr defaultRowHeight="13.2"/>
  <cols>
    <col min="1" max="1" width="7.109375" bestFit="1" customWidth="1"/>
  </cols>
  <sheetData>
    <row r="1" spans="1:1">
      <c r="A1" t="s">
        <v>96</v>
      </c>
    </row>
    <row r="2" spans="1:1">
      <c r="A2">
        <v>10</v>
      </c>
    </row>
    <row r="3" spans="1:1">
      <c r="A3">
        <v>20</v>
      </c>
    </row>
    <row r="4" spans="1:1">
      <c r="A4">
        <v>30</v>
      </c>
    </row>
    <row r="5" spans="1:1">
      <c r="A5">
        <v>40</v>
      </c>
    </row>
    <row r="6" spans="1:1">
      <c r="A6">
        <v>50</v>
      </c>
    </row>
    <row r="7" spans="1:1">
      <c r="A7">
        <v>60</v>
      </c>
    </row>
    <row r="8" spans="1:1">
      <c r="A8">
        <v>70</v>
      </c>
    </row>
    <row r="9" spans="1:1">
      <c r="A9">
        <v>80</v>
      </c>
    </row>
    <row r="10" spans="1:1">
      <c r="A10">
        <v>90</v>
      </c>
    </row>
    <row r="11" spans="1:1">
      <c r="A11">
        <v>100</v>
      </c>
    </row>
    <row r="12" spans="1:1">
      <c r="A12">
        <v>110</v>
      </c>
    </row>
    <row r="13" spans="1:1">
      <c r="A13">
        <v>120</v>
      </c>
    </row>
    <row r="14" spans="1:1">
      <c r="A14">
        <v>130</v>
      </c>
    </row>
    <row r="15" spans="1:1">
      <c r="A15">
        <v>140</v>
      </c>
    </row>
    <row r="16" spans="1:1">
      <c r="A16">
        <v>150</v>
      </c>
    </row>
    <row r="17" spans="1:1">
      <c r="A17">
        <v>160</v>
      </c>
    </row>
    <row r="18" spans="1:1">
      <c r="A18">
        <v>170</v>
      </c>
    </row>
    <row r="19" spans="1:1">
      <c r="A19">
        <v>180</v>
      </c>
    </row>
    <row r="20" spans="1:1">
      <c r="A20">
        <v>190</v>
      </c>
    </row>
    <row r="21" spans="1:1">
      <c r="A21">
        <v>200</v>
      </c>
    </row>
    <row r="22" spans="1:1">
      <c r="A22">
        <v>210</v>
      </c>
    </row>
    <row r="23" spans="1:1">
      <c r="A23">
        <v>220</v>
      </c>
    </row>
    <row r="24" spans="1:1">
      <c r="A24">
        <v>230</v>
      </c>
    </row>
    <row r="25" spans="1:1">
      <c r="A25">
        <v>240</v>
      </c>
    </row>
    <row r="26" spans="1:1">
      <c r="A26">
        <v>250</v>
      </c>
    </row>
    <row r="27" spans="1:1">
      <c r="A27">
        <v>260</v>
      </c>
    </row>
    <row r="28" spans="1:1">
      <c r="A28">
        <v>270</v>
      </c>
    </row>
    <row r="29" spans="1:1">
      <c r="A29">
        <v>280</v>
      </c>
    </row>
    <row r="30" spans="1:1">
      <c r="A30">
        <v>290</v>
      </c>
    </row>
    <row r="31" spans="1:1">
      <c r="A31">
        <v>300</v>
      </c>
    </row>
    <row r="32" spans="1:1">
      <c r="A32">
        <v>310</v>
      </c>
    </row>
    <row r="33" spans="1:1">
      <c r="A33">
        <v>320</v>
      </c>
    </row>
    <row r="34" spans="1:1">
      <c r="A34">
        <v>330</v>
      </c>
    </row>
    <row r="35" spans="1:1">
      <c r="A35">
        <v>340</v>
      </c>
    </row>
    <row r="36" spans="1:1">
      <c r="A36">
        <v>350</v>
      </c>
    </row>
    <row r="37" spans="1:1">
      <c r="A37">
        <v>360</v>
      </c>
    </row>
    <row r="38" spans="1:1">
      <c r="A38">
        <v>370</v>
      </c>
    </row>
  </sheetData>
  <pageMargins left="0.511811024" right="0.511811024" top="0.78740157499999996" bottom="0.78740157499999996" header="0.31496062000000002" footer="0.31496062000000002"/>
  <pageSetup paperSize="9"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803937-038B-41F2-B402-F83684B42D66}">
  <sheetPr codeName="Plan15"/>
  <dimension ref="A1:Y78"/>
  <sheetViews>
    <sheetView showGridLines="0" zoomScaleNormal="100" workbookViewId="0">
      <selection activeCell="AI27" sqref="AI26:AI27"/>
    </sheetView>
  </sheetViews>
  <sheetFormatPr defaultColWidth="3.6640625" defaultRowHeight="13.2"/>
  <cols>
    <col min="1" max="1" width="4.5546875" style="579" customWidth="1"/>
    <col min="2" max="25" width="3.6640625" style="579" customWidth="1"/>
    <col min="26" max="16384" width="3.6640625" style="579"/>
  </cols>
  <sheetData>
    <row r="1" spans="1:25" ht="12.75" customHeight="1">
      <c r="A1" s="909"/>
      <c r="B1" s="910"/>
      <c r="C1" s="910"/>
      <c r="D1" s="910"/>
      <c r="E1" s="910"/>
      <c r="F1" s="910"/>
      <c r="G1" s="910"/>
      <c r="H1" s="911"/>
      <c r="I1" s="918" t="str">
        <f>OVERALL!I1</f>
        <v xml:space="preserve"> - </v>
      </c>
      <c r="J1" s="919"/>
      <c r="K1" s="919"/>
      <c r="L1" s="919"/>
      <c r="M1" s="919"/>
      <c r="N1" s="919"/>
      <c r="O1" s="919"/>
      <c r="P1" s="919"/>
      <c r="Q1" s="919"/>
      <c r="R1" s="919"/>
      <c r="S1" s="919"/>
      <c r="T1" s="919"/>
      <c r="U1" s="919"/>
      <c r="V1" s="919"/>
      <c r="W1" s="919"/>
      <c r="X1" s="919"/>
      <c r="Y1" s="920"/>
    </row>
    <row r="2" spans="1:25" ht="12.75" customHeight="1">
      <c r="A2" s="912"/>
      <c r="B2" s="913"/>
      <c r="C2" s="913"/>
      <c r="D2" s="913"/>
      <c r="E2" s="913"/>
      <c r="F2" s="913"/>
      <c r="G2" s="913"/>
      <c r="H2" s="914"/>
      <c r="I2" s="921"/>
      <c r="J2" s="922"/>
      <c r="K2" s="922"/>
      <c r="L2" s="922"/>
      <c r="M2" s="922"/>
      <c r="N2" s="922"/>
      <c r="O2" s="922"/>
      <c r="P2" s="922"/>
      <c r="Q2" s="922"/>
      <c r="R2" s="922"/>
      <c r="S2" s="922"/>
      <c r="T2" s="922"/>
      <c r="U2" s="922"/>
      <c r="V2" s="922"/>
      <c r="W2" s="922"/>
      <c r="X2" s="922"/>
      <c r="Y2" s="923"/>
    </row>
    <row r="3" spans="1:25" ht="12.75" customHeight="1">
      <c r="A3" s="912"/>
      <c r="B3" s="913"/>
      <c r="C3" s="913"/>
      <c r="D3" s="913"/>
      <c r="E3" s="913"/>
      <c r="F3" s="913"/>
      <c r="G3" s="913"/>
      <c r="H3" s="914"/>
      <c r="I3" s="918" t="str">
        <f>OVERALL!I3</f>
        <v xml:space="preserve"> - </v>
      </c>
      <c r="J3" s="924"/>
      <c r="K3" s="924"/>
      <c r="L3" s="924"/>
      <c r="M3" s="924"/>
      <c r="N3" s="924"/>
      <c r="O3" s="924"/>
      <c r="P3" s="924"/>
      <c r="Q3" s="924"/>
      <c r="R3" s="924"/>
      <c r="S3" s="924"/>
      <c r="T3" s="924"/>
      <c r="U3" s="924"/>
      <c r="V3" s="924"/>
      <c r="W3" s="924"/>
      <c r="X3" s="924"/>
      <c r="Y3" s="925"/>
    </row>
    <row r="4" spans="1:25" ht="12.75" customHeight="1">
      <c r="A4" s="912"/>
      <c r="B4" s="913"/>
      <c r="C4" s="913"/>
      <c r="D4" s="913"/>
      <c r="E4" s="913"/>
      <c r="F4" s="913"/>
      <c r="G4" s="913"/>
      <c r="H4" s="914"/>
      <c r="I4" s="926"/>
      <c r="J4" s="927"/>
      <c r="K4" s="927"/>
      <c r="L4" s="927"/>
      <c r="M4" s="927"/>
      <c r="N4" s="927"/>
      <c r="O4" s="927"/>
      <c r="P4" s="927"/>
      <c r="Q4" s="927"/>
      <c r="R4" s="927"/>
      <c r="S4" s="927"/>
      <c r="T4" s="927"/>
      <c r="U4" s="927"/>
      <c r="V4" s="927"/>
      <c r="W4" s="927"/>
      <c r="X4" s="927"/>
      <c r="Y4" s="928"/>
    </row>
    <row r="5" spans="1:25" ht="5.0999999999999996" customHeight="1">
      <c r="A5" s="912"/>
      <c r="B5" s="913"/>
      <c r="C5" s="913"/>
      <c r="D5" s="913"/>
      <c r="E5" s="913"/>
      <c r="F5" s="913"/>
      <c r="G5" s="913"/>
      <c r="H5" s="914"/>
      <c r="I5" s="929"/>
      <c r="J5" s="930"/>
      <c r="K5" s="930"/>
      <c r="L5" s="930"/>
      <c r="M5" s="930"/>
      <c r="N5" s="930"/>
      <c r="O5" s="930"/>
      <c r="P5" s="930"/>
      <c r="Q5" s="930"/>
      <c r="R5" s="930"/>
      <c r="S5" s="930"/>
      <c r="T5" s="930"/>
      <c r="U5" s="930"/>
      <c r="V5" s="930"/>
      <c r="W5" s="930"/>
      <c r="X5" s="930"/>
      <c r="Y5" s="931"/>
    </row>
    <row r="6" spans="1:25" ht="16.5" customHeight="1">
      <c r="A6" s="912"/>
      <c r="B6" s="913"/>
      <c r="C6" s="913"/>
      <c r="D6" s="913"/>
      <c r="E6" s="913"/>
      <c r="F6" s="913"/>
      <c r="G6" s="913"/>
      <c r="H6" s="914"/>
      <c r="I6" s="932" t="str">
        <f>OVERALL!I6</f>
        <v>Drawing number</v>
      </c>
      <c r="J6" s="933"/>
      <c r="K6" s="933"/>
      <c r="L6" s="933"/>
      <c r="M6" s="933"/>
      <c r="N6" s="933"/>
      <c r="O6" s="933"/>
      <c r="P6" s="933"/>
      <c r="Q6" s="933"/>
      <c r="R6" s="933"/>
      <c r="S6" s="934"/>
      <c r="T6" s="935" t="str">
        <f>OVERALL!V6</f>
        <v>Revision</v>
      </c>
      <c r="U6" s="935"/>
      <c r="V6" s="936"/>
      <c r="W6" s="932" t="str">
        <f>OVERALL!Y6</f>
        <v>State</v>
      </c>
      <c r="X6" s="933"/>
      <c r="Y6" s="934"/>
    </row>
    <row r="7" spans="1:25" ht="16.5" customHeight="1">
      <c r="A7" s="915"/>
      <c r="B7" s="916"/>
      <c r="C7" s="916"/>
      <c r="D7" s="916"/>
      <c r="E7" s="916"/>
      <c r="F7" s="916"/>
      <c r="G7" s="916"/>
      <c r="H7" s="917"/>
      <c r="I7" s="937" t="str">
        <f>OVERALL!I7</f>
        <v>CS</v>
      </c>
      <c r="J7" s="938"/>
      <c r="K7" s="938"/>
      <c r="L7" s="938"/>
      <c r="M7" s="938"/>
      <c r="N7" s="938"/>
      <c r="O7" s="938"/>
      <c r="P7" s="938"/>
      <c r="Q7" s="938"/>
      <c r="R7" s="938"/>
      <c r="S7" s="939"/>
      <c r="T7" s="940" t="str">
        <f>OVERALL!V7</f>
        <v>A00</v>
      </c>
      <c r="U7" s="941"/>
      <c r="V7" s="941"/>
      <c r="W7" s="942" t="str">
        <f>OVERALL!Y7</f>
        <v>V</v>
      </c>
      <c r="X7" s="943"/>
      <c r="Y7" s="944"/>
    </row>
    <row r="8" spans="1:25" ht="5.0999999999999996" customHeight="1">
      <c r="A8" s="913"/>
      <c r="B8" s="913"/>
      <c r="C8" s="913"/>
      <c r="D8" s="913"/>
      <c r="E8" s="913"/>
      <c r="F8" s="913"/>
      <c r="G8" s="913"/>
      <c r="H8" s="913"/>
      <c r="I8" s="913"/>
      <c r="J8" s="913"/>
      <c r="K8" s="913"/>
      <c r="L8" s="913"/>
      <c r="M8" s="913"/>
      <c r="N8" s="913"/>
      <c r="O8" s="913"/>
      <c r="P8" s="913"/>
      <c r="Q8" s="913"/>
      <c r="R8" s="913"/>
      <c r="S8" s="913"/>
      <c r="T8" s="913"/>
      <c r="U8" s="913"/>
      <c r="V8" s="913"/>
      <c r="W8" s="913"/>
      <c r="X8" s="913"/>
      <c r="Y8" s="913"/>
    </row>
    <row r="9" spans="1:25" ht="12.75" customHeight="1">
      <c r="A9" s="945" t="s">
        <v>96</v>
      </c>
      <c r="B9" s="946" t="s">
        <v>503</v>
      </c>
      <c r="C9" s="946"/>
      <c r="D9" s="946"/>
      <c r="E9" s="946"/>
      <c r="F9" s="946"/>
      <c r="G9" s="946" t="s">
        <v>504</v>
      </c>
      <c r="H9" s="946"/>
      <c r="I9" s="946"/>
      <c r="J9" s="946"/>
      <c r="K9" s="946"/>
      <c r="L9" s="946"/>
      <c r="M9" s="946"/>
      <c r="N9" s="946" t="s">
        <v>505</v>
      </c>
      <c r="O9" s="946"/>
      <c r="P9" s="946"/>
      <c r="Q9" s="946"/>
      <c r="R9" s="946" t="s">
        <v>25</v>
      </c>
      <c r="S9" s="946" t="s">
        <v>664</v>
      </c>
      <c r="T9" s="946"/>
      <c r="U9" s="946"/>
      <c r="V9" s="946"/>
      <c r="W9" s="946"/>
      <c r="X9" s="946"/>
      <c r="Y9" s="945" t="s">
        <v>507</v>
      </c>
    </row>
    <row r="10" spans="1:25">
      <c r="A10" s="945"/>
      <c r="B10" s="946"/>
      <c r="C10" s="946"/>
      <c r="D10" s="946"/>
      <c r="E10" s="946"/>
      <c r="F10" s="946"/>
      <c r="G10" s="946"/>
      <c r="H10" s="946"/>
      <c r="I10" s="946"/>
      <c r="J10" s="946"/>
      <c r="K10" s="946"/>
      <c r="L10" s="946"/>
      <c r="M10" s="946"/>
      <c r="N10" s="946" t="s">
        <v>506</v>
      </c>
      <c r="O10" s="946"/>
      <c r="P10" s="946" t="s">
        <v>27</v>
      </c>
      <c r="Q10" s="946"/>
      <c r="R10" s="946"/>
      <c r="S10" s="946" t="s">
        <v>506</v>
      </c>
      <c r="T10" s="946"/>
      <c r="U10" s="946"/>
      <c r="V10" s="946" t="s">
        <v>27</v>
      </c>
      <c r="W10" s="946"/>
      <c r="X10" s="946"/>
      <c r="Y10" s="945"/>
    </row>
    <row r="11" spans="1:25" ht="5.0999999999999996" customHeight="1">
      <c r="A11" s="913"/>
      <c r="B11" s="913"/>
      <c r="C11" s="913"/>
      <c r="D11" s="913"/>
      <c r="E11" s="913"/>
      <c r="F11" s="913"/>
      <c r="G11" s="913"/>
      <c r="H11" s="913"/>
      <c r="I11" s="913"/>
      <c r="J11" s="913"/>
      <c r="K11" s="913"/>
      <c r="L11" s="913"/>
      <c r="M11" s="913"/>
      <c r="N11" s="913"/>
      <c r="O11" s="913"/>
      <c r="P11" s="913"/>
      <c r="Q11" s="913"/>
      <c r="R11" s="913"/>
      <c r="S11" s="913"/>
      <c r="T11" s="913"/>
      <c r="U11" s="913"/>
      <c r="V11" s="913"/>
      <c r="W11" s="913"/>
      <c r="X11" s="913"/>
      <c r="Y11" s="913"/>
    </row>
    <row r="12" spans="1:25" s="581" customFormat="1" ht="12.75" customHeight="1">
      <c r="A12" s="580"/>
      <c r="B12" s="947"/>
      <c r="C12" s="947"/>
      <c r="D12" s="947"/>
      <c r="E12" s="947"/>
      <c r="F12" s="947"/>
      <c r="G12" s="947"/>
      <c r="H12" s="947"/>
      <c r="I12" s="947"/>
      <c r="J12" s="947"/>
      <c r="K12" s="947"/>
      <c r="L12" s="947"/>
      <c r="M12" s="947"/>
      <c r="N12" s="947"/>
      <c r="O12" s="947"/>
      <c r="P12" s="947"/>
      <c r="Q12" s="947"/>
      <c r="R12" s="580"/>
      <c r="S12" s="948"/>
      <c r="T12" s="948"/>
      <c r="U12" s="948"/>
      <c r="V12" s="948"/>
      <c r="W12" s="948"/>
      <c r="X12" s="948"/>
      <c r="Y12" s="580"/>
    </row>
    <row r="13" spans="1:25" s="581" customFormat="1" ht="12.75" customHeight="1">
      <c r="A13" s="580"/>
      <c r="B13" s="947"/>
      <c r="C13" s="947"/>
      <c r="D13" s="947"/>
      <c r="E13" s="947"/>
      <c r="F13" s="947"/>
      <c r="G13" s="947"/>
      <c r="H13" s="947"/>
      <c r="I13" s="947"/>
      <c r="J13" s="947"/>
      <c r="K13" s="947"/>
      <c r="L13" s="947"/>
      <c r="M13" s="947"/>
      <c r="N13" s="947"/>
      <c r="O13" s="947"/>
      <c r="P13" s="947"/>
      <c r="Q13" s="947"/>
      <c r="R13" s="580"/>
      <c r="S13" s="948"/>
      <c r="T13" s="948"/>
      <c r="U13" s="948"/>
      <c r="V13" s="948"/>
      <c r="W13" s="948"/>
      <c r="X13" s="948"/>
      <c r="Y13" s="580"/>
    </row>
    <row r="14" spans="1:25" s="581" customFormat="1" ht="12.75" customHeight="1">
      <c r="A14" s="580"/>
      <c r="B14" s="947"/>
      <c r="C14" s="947"/>
      <c r="D14" s="947"/>
      <c r="E14" s="947"/>
      <c r="F14" s="947"/>
      <c r="G14" s="947"/>
      <c r="H14" s="947"/>
      <c r="I14" s="947"/>
      <c r="J14" s="947"/>
      <c r="K14" s="947"/>
      <c r="L14" s="947"/>
      <c r="M14" s="947"/>
      <c r="N14" s="947"/>
      <c r="O14" s="947"/>
      <c r="P14" s="947"/>
      <c r="Q14" s="947"/>
      <c r="R14" s="580"/>
      <c r="S14" s="948"/>
      <c r="T14" s="948"/>
      <c r="U14" s="948"/>
      <c r="V14" s="948"/>
      <c r="W14" s="948"/>
      <c r="X14" s="948"/>
      <c r="Y14" s="580"/>
    </row>
    <row r="15" spans="1:25" s="581" customFormat="1" ht="12.75" customHeight="1">
      <c r="A15" s="580"/>
      <c r="B15" s="947"/>
      <c r="C15" s="947"/>
      <c r="D15" s="947"/>
      <c r="E15" s="947"/>
      <c r="F15" s="947"/>
      <c r="G15" s="947"/>
      <c r="H15" s="947"/>
      <c r="I15" s="947"/>
      <c r="J15" s="947"/>
      <c r="K15" s="947"/>
      <c r="L15" s="947"/>
      <c r="M15" s="947"/>
      <c r="N15" s="947"/>
      <c r="O15" s="947"/>
      <c r="P15" s="947"/>
      <c r="Q15" s="947"/>
      <c r="R15" s="580"/>
      <c r="S15" s="948"/>
      <c r="T15" s="948"/>
      <c r="U15" s="948"/>
      <c r="V15" s="948"/>
      <c r="W15" s="948"/>
      <c r="X15" s="948"/>
      <c r="Y15" s="580"/>
    </row>
    <row r="16" spans="1:25" s="581" customFormat="1" ht="12.75" customHeight="1">
      <c r="A16" s="580"/>
      <c r="B16" s="947"/>
      <c r="C16" s="947"/>
      <c r="D16" s="947"/>
      <c r="E16" s="947"/>
      <c r="F16" s="947"/>
      <c r="G16" s="947"/>
      <c r="H16" s="947"/>
      <c r="I16" s="947"/>
      <c r="J16" s="947"/>
      <c r="K16" s="947"/>
      <c r="L16" s="947"/>
      <c r="M16" s="947"/>
      <c r="N16" s="947"/>
      <c r="O16" s="947"/>
      <c r="P16" s="947"/>
      <c r="Q16" s="947"/>
      <c r="R16" s="580"/>
      <c r="S16" s="948"/>
      <c r="T16" s="948"/>
      <c r="U16" s="948"/>
      <c r="V16" s="948"/>
      <c r="W16" s="948"/>
      <c r="X16" s="948"/>
      <c r="Y16" s="580"/>
    </row>
    <row r="17" spans="1:25" s="581" customFormat="1" ht="12.75" customHeight="1">
      <c r="A17" s="580"/>
      <c r="B17" s="947"/>
      <c r="C17" s="947"/>
      <c r="D17" s="947"/>
      <c r="E17" s="947"/>
      <c r="F17" s="947"/>
      <c r="G17" s="947"/>
      <c r="H17" s="947"/>
      <c r="I17" s="947"/>
      <c r="J17" s="947"/>
      <c r="K17" s="947"/>
      <c r="L17" s="947"/>
      <c r="M17" s="947"/>
      <c r="N17" s="947"/>
      <c r="O17" s="947"/>
      <c r="P17" s="947"/>
      <c r="Q17" s="947"/>
      <c r="R17" s="580"/>
      <c r="S17" s="948"/>
      <c r="T17" s="948"/>
      <c r="U17" s="948"/>
      <c r="V17" s="948"/>
      <c r="W17" s="948"/>
      <c r="X17" s="948"/>
      <c r="Y17" s="580"/>
    </row>
    <row r="18" spans="1:25" s="581" customFormat="1" ht="12.75" customHeight="1">
      <c r="A18" s="580"/>
      <c r="B18" s="947"/>
      <c r="C18" s="947"/>
      <c r="D18" s="947"/>
      <c r="E18" s="947"/>
      <c r="F18" s="947"/>
      <c r="G18" s="947"/>
      <c r="H18" s="947"/>
      <c r="I18" s="947"/>
      <c r="J18" s="947"/>
      <c r="K18" s="947"/>
      <c r="L18" s="947"/>
      <c r="M18" s="947"/>
      <c r="N18" s="947"/>
      <c r="O18" s="947"/>
      <c r="P18" s="947"/>
      <c r="Q18" s="947"/>
      <c r="R18" s="580"/>
      <c r="S18" s="948"/>
      <c r="T18" s="948"/>
      <c r="U18" s="948"/>
      <c r="V18" s="948"/>
      <c r="W18" s="948"/>
      <c r="X18" s="948"/>
      <c r="Y18" s="580"/>
    </row>
    <row r="19" spans="1:25" s="581" customFormat="1" ht="12.75" customHeight="1">
      <c r="A19" s="580"/>
      <c r="B19" s="947"/>
      <c r="C19" s="947"/>
      <c r="D19" s="947"/>
      <c r="E19" s="947"/>
      <c r="F19" s="947"/>
      <c r="G19" s="947"/>
      <c r="H19" s="947"/>
      <c r="I19" s="947"/>
      <c r="J19" s="947"/>
      <c r="K19" s="947"/>
      <c r="L19" s="947"/>
      <c r="M19" s="947"/>
      <c r="N19" s="947"/>
      <c r="O19" s="947"/>
      <c r="P19" s="947"/>
      <c r="Q19" s="947"/>
      <c r="R19" s="580"/>
      <c r="S19" s="948"/>
      <c r="T19" s="948"/>
      <c r="U19" s="948"/>
      <c r="V19" s="948"/>
      <c r="W19" s="948"/>
      <c r="X19" s="948"/>
      <c r="Y19" s="580"/>
    </row>
    <row r="20" spans="1:25" s="581" customFormat="1" ht="12.75" customHeight="1">
      <c r="A20" s="580"/>
      <c r="B20" s="947"/>
      <c r="C20" s="947"/>
      <c r="D20" s="947"/>
      <c r="E20" s="947"/>
      <c r="F20" s="947"/>
      <c r="G20" s="947"/>
      <c r="H20" s="947"/>
      <c r="I20" s="947"/>
      <c r="J20" s="947"/>
      <c r="K20" s="947"/>
      <c r="L20" s="947"/>
      <c r="M20" s="947"/>
      <c r="N20" s="947"/>
      <c r="O20" s="947"/>
      <c r="P20" s="947"/>
      <c r="Q20" s="947"/>
      <c r="R20" s="580"/>
      <c r="S20" s="948"/>
      <c r="T20" s="948"/>
      <c r="U20" s="948"/>
      <c r="V20" s="948"/>
      <c r="W20" s="948"/>
      <c r="X20" s="948"/>
      <c r="Y20" s="580"/>
    </row>
    <row r="21" spans="1:25" s="581" customFormat="1" ht="12.75" customHeight="1">
      <c r="A21" s="580"/>
      <c r="B21" s="947"/>
      <c r="C21" s="947"/>
      <c r="D21" s="947"/>
      <c r="E21" s="947"/>
      <c r="F21" s="947"/>
      <c r="G21" s="947"/>
      <c r="H21" s="947"/>
      <c r="I21" s="947"/>
      <c r="J21" s="947"/>
      <c r="K21" s="947"/>
      <c r="L21" s="947"/>
      <c r="M21" s="947"/>
      <c r="N21" s="947"/>
      <c r="O21" s="947"/>
      <c r="P21" s="947"/>
      <c r="Q21" s="947"/>
      <c r="R21" s="580"/>
      <c r="S21" s="948"/>
      <c r="T21" s="948"/>
      <c r="U21" s="948"/>
      <c r="V21" s="948"/>
      <c r="W21" s="948"/>
      <c r="X21" s="948"/>
      <c r="Y21" s="580"/>
    </row>
    <row r="22" spans="1:25" s="581" customFormat="1" ht="12.75" customHeight="1">
      <c r="A22" s="580"/>
      <c r="B22" s="947"/>
      <c r="C22" s="947"/>
      <c r="D22" s="947"/>
      <c r="E22" s="947"/>
      <c r="F22" s="947"/>
      <c r="G22" s="947"/>
      <c r="H22" s="947"/>
      <c r="I22" s="947"/>
      <c r="J22" s="947"/>
      <c r="K22" s="947"/>
      <c r="L22" s="947"/>
      <c r="M22" s="947"/>
      <c r="N22" s="947"/>
      <c r="O22" s="947"/>
      <c r="P22" s="947"/>
      <c r="Q22" s="947"/>
      <c r="R22" s="580"/>
      <c r="S22" s="948"/>
      <c r="T22" s="948"/>
      <c r="U22" s="948"/>
      <c r="V22" s="948"/>
      <c r="W22" s="948"/>
      <c r="X22" s="948"/>
      <c r="Y22" s="580"/>
    </row>
    <row r="23" spans="1:25" s="581" customFormat="1" ht="12.75" customHeight="1">
      <c r="A23" s="580"/>
      <c r="B23" s="947"/>
      <c r="C23" s="947"/>
      <c r="D23" s="947"/>
      <c r="E23" s="947"/>
      <c r="F23" s="947"/>
      <c r="G23" s="947"/>
      <c r="H23" s="947"/>
      <c r="I23" s="947"/>
      <c r="J23" s="947"/>
      <c r="K23" s="947"/>
      <c r="L23" s="947"/>
      <c r="M23" s="947"/>
      <c r="N23" s="947"/>
      <c r="O23" s="947"/>
      <c r="P23" s="947"/>
      <c r="Q23" s="947"/>
      <c r="R23" s="580"/>
      <c r="S23" s="948"/>
      <c r="T23" s="948"/>
      <c r="U23" s="948"/>
      <c r="V23" s="948"/>
      <c r="W23" s="948"/>
      <c r="X23" s="948"/>
      <c r="Y23" s="580"/>
    </row>
    <row r="24" spans="1:25" s="581" customFormat="1" ht="12.75" customHeight="1">
      <c r="A24" s="580"/>
      <c r="B24" s="947"/>
      <c r="C24" s="947"/>
      <c r="D24" s="947"/>
      <c r="E24" s="947"/>
      <c r="F24" s="947"/>
      <c r="G24" s="947"/>
      <c r="H24" s="947"/>
      <c r="I24" s="947"/>
      <c r="J24" s="947"/>
      <c r="K24" s="947"/>
      <c r="L24" s="947"/>
      <c r="M24" s="947"/>
      <c r="N24" s="947"/>
      <c r="O24" s="947"/>
      <c r="P24" s="947"/>
      <c r="Q24" s="947"/>
      <c r="R24" s="580"/>
      <c r="S24" s="948"/>
      <c r="T24" s="948"/>
      <c r="U24" s="948"/>
      <c r="V24" s="948"/>
      <c r="W24" s="948"/>
      <c r="X24" s="948"/>
      <c r="Y24" s="580"/>
    </row>
    <row r="25" spans="1:25" s="581" customFormat="1" ht="12.75" customHeight="1">
      <c r="A25" s="580"/>
      <c r="B25" s="947"/>
      <c r="C25" s="947"/>
      <c r="D25" s="947"/>
      <c r="E25" s="947"/>
      <c r="F25" s="947"/>
      <c r="G25" s="947"/>
      <c r="H25" s="947"/>
      <c r="I25" s="947"/>
      <c r="J25" s="947"/>
      <c r="K25" s="947"/>
      <c r="L25" s="947"/>
      <c r="M25" s="947"/>
      <c r="N25" s="947"/>
      <c r="O25" s="947"/>
      <c r="P25" s="947"/>
      <c r="Q25" s="947"/>
      <c r="R25" s="580"/>
      <c r="S25" s="948"/>
      <c r="T25" s="948"/>
      <c r="U25" s="948"/>
      <c r="V25" s="948"/>
      <c r="W25" s="948"/>
      <c r="X25" s="948"/>
      <c r="Y25" s="580"/>
    </row>
    <row r="26" spans="1:25" s="581" customFormat="1" ht="12.75" customHeight="1">
      <c r="A26" s="580"/>
      <c r="B26" s="947"/>
      <c r="C26" s="947"/>
      <c r="D26" s="947"/>
      <c r="E26" s="947"/>
      <c r="F26" s="947"/>
      <c r="G26" s="947"/>
      <c r="H26" s="947"/>
      <c r="I26" s="947"/>
      <c r="J26" s="947"/>
      <c r="K26" s="947"/>
      <c r="L26" s="947"/>
      <c r="M26" s="947"/>
      <c r="N26" s="947"/>
      <c r="O26" s="947"/>
      <c r="P26" s="947"/>
      <c r="Q26" s="947"/>
      <c r="R26" s="580"/>
      <c r="S26" s="948"/>
      <c r="T26" s="948"/>
      <c r="U26" s="948"/>
      <c r="V26" s="948"/>
      <c r="W26" s="948"/>
      <c r="X26" s="948"/>
      <c r="Y26" s="580"/>
    </row>
    <row r="27" spans="1:25" s="581" customFormat="1" ht="12.75" customHeight="1">
      <c r="A27" s="580"/>
      <c r="B27" s="947"/>
      <c r="C27" s="947"/>
      <c r="D27" s="947"/>
      <c r="E27" s="947"/>
      <c r="F27" s="947"/>
      <c r="G27" s="947"/>
      <c r="H27" s="947"/>
      <c r="I27" s="947"/>
      <c r="J27" s="947"/>
      <c r="K27" s="947"/>
      <c r="L27" s="947"/>
      <c r="M27" s="947"/>
      <c r="N27" s="947"/>
      <c r="O27" s="947"/>
      <c r="P27" s="947"/>
      <c r="Q27" s="947"/>
      <c r="R27" s="580"/>
      <c r="S27" s="948"/>
      <c r="T27" s="948"/>
      <c r="U27" s="948"/>
      <c r="V27" s="948"/>
      <c r="W27" s="948"/>
      <c r="X27" s="948"/>
      <c r="Y27" s="580"/>
    </row>
    <row r="28" spans="1:25" s="581" customFormat="1" ht="12.75" customHeight="1">
      <c r="A28" s="580"/>
      <c r="B28" s="947"/>
      <c r="C28" s="947"/>
      <c r="D28" s="947"/>
      <c r="E28" s="947"/>
      <c r="F28" s="947"/>
      <c r="G28" s="947"/>
      <c r="H28" s="947"/>
      <c r="I28" s="947"/>
      <c r="J28" s="947"/>
      <c r="K28" s="947"/>
      <c r="L28" s="947"/>
      <c r="M28" s="947"/>
      <c r="N28" s="947"/>
      <c r="O28" s="947"/>
      <c r="P28" s="947"/>
      <c r="Q28" s="947"/>
      <c r="R28" s="580"/>
      <c r="S28" s="948"/>
      <c r="T28" s="948"/>
      <c r="U28" s="948"/>
      <c r="V28" s="948"/>
      <c r="W28" s="948"/>
      <c r="X28" s="948"/>
      <c r="Y28" s="580"/>
    </row>
    <row r="29" spans="1:25" s="581" customFormat="1" ht="12.75" customHeight="1">
      <c r="A29" s="580"/>
      <c r="B29" s="947"/>
      <c r="C29" s="947"/>
      <c r="D29" s="947"/>
      <c r="E29" s="947"/>
      <c r="F29" s="947"/>
      <c r="G29" s="947"/>
      <c r="H29" s="947"/>
      <c r="I29" s="947"/>
      <c r="J29" s="947"/>
      <c r="K29" s="947"/>
      <c r="L29" s="947"/>
      <c r="M29" s="947"/>
      <c r="N29" s="947"/>
      <c r="O29" s="947"/>
      <c r="P29" s="947"/>
      <c r="Q29" s="947"/>
      <c r="R29" s="580"/>
      <c r="S29" s="948"/>
      <c r="T29" s="948"/>
      <c r="U29" s="948"/>
      <c r="V29" s="948"/>
      <c r="W29" s="948"/>
      <c r="X29" s="948"/>
      <c r="Y29" s="580"/>
    </row>
    <row r="30" spans="1:25" s="581" customFormat="1" ht="12.75" customHeight="1">
      <c r="A30" s="580"/>
      <c r="B30" s="947"/>
      <c r="C30" s="947"/>
      <c r="D30" s="947"/>
      <c r="E30" s="947"/>
      <c r="F30" s="947"/>
      <c r="G30" s="947"/>
      <c r="H30" s="947"/>
      <c r="I30" s="947"/>
      <c r="J30" s="947"/>
      <c r="K30" s="947"/>
      <c r="L30" s="947"/>
      <c r="M30" s="947"/>
      <c r="N30" s="947"/>
      <c r="O30" s="947"/>
      <c r="P30" s="947"/>
      <c r="Q30" s="947"/>
      <c r="R30" s="580"/>
      <c r="S30" s="948"/>
      <c r="T30" s="948"/>
      <c r="U30" s="948"/>
      <c r="V30" s="948"/>
      <c r="W30" s="948"/>
      <c r="X30" s="948"/>
      <c r="Y30" s="580"/>
    </row>
    <row r="31" spans="1:25" s="581" customFormat="1" ht="12.75" customHeight="1">
      <c r="A31" s="580"/>
      <c r="B31" s="947"/>
      <c r="C31" s="947"/>
      <c r="D31" s="947"/>
      <c r="E31" s="947"/>
      <c r="F31" s="947"/>
      <c r="G31" s="947"/>
      <c r="H31" s="947"/>
      <c r="I31" s="947"/>
      <c r="J31" s="947"/>
      <c r="K31" s="947"/>
      <c r="L31" s="947"/>
      <c r="M31" s="947"/>
      <c r="N31" s="947"/>
      <c r="O31" s="947"/>
      <c r="P31" s="947"/>
      <c r="Q31" s="947"/>
      <c r="R31" s="580"/>
      <c r="S31" s="948"/>
      <c r="T31" s="948"/>
      <c r="U31" s="948"/>
      <c r="V31" s="948"/>
      <c r="W31" s="948"/>
      <c r="X31" s="948"/>
      <c r="Y31" s="580"/>
    </row>
    <row r="32" spans="1:25" s="581" customFormat="1" ht="12.75" customHeight="1">
      <c r="A32" s="580"/>
      <c r="B32" s="947"/>
      <c r="C32" s="947"/>
      <c r="D32" s="947"/>
      <c r="E32" s="947"/>
      <c r="F32" s="947"/>
      <c r="G32" s="947"/>
      <c r="H32" s="947"/>
      <c r="I32" s="947"/>
      <c r="J32" s="947"/>
      <c r="K32" s="947"/>
      <c r="L32" s="947"/>
      <c r="M32" s="947"/>
      <c r="N32" s="947"/>
      <c r="O32" s="947"/>
      <c r="P32" s="947"/>
      <c r="Q32" s="947"/>
      <c r="R32" s="580"/>
      <c r="S32" s="948"/>
      <c r="T32" s="948"/>
      <c r="U32" s="948"/>
      <c r="V32" s="948"/>
      <c r="W32" s="948"/>
      <c r="X32" s="948"/>
      <c r="Y32" s="580"/>
    </row>
    <row r="33" spans="1:25" s="581" customFormat="1" ht="12.75" customHeight="1">
      <c r="A33" s="580"/>
      <c r="B33" s="947"/>
      <c r="C33" s="947"/>
      <c r="D33" s="947"/>
      <c r="E33" s="947"/>
      <c r="F33" s="947"/>
      <c r="G33" s="947"/>
      <c r="H33" s="947"/>
      <c r="I33" s="947"/>
      <c r="J33" s="947"/>
      <c r="K33" s="947"/>
      <c r="L33" s="947"/>
      <c r="M33" s="947"/>
      <c r="N33" s="947"/>
      <c r="O33" s="947"/>
      <c r="P33" s="947"/>
      <c r="Q33" s="947"/>
      <c r="R33" s="580"/>
      <c r="S33" s="948"/>
      <c r="T33" s="948"/>
      <c r="U33" s="948"/>
      <c r="V33" s="948"/>
      <c r="W33" s="948"/>
      <c r="X33" s="948"/>
      <c r="Y33" s="580"/>
    </row>
    <row r="34" spans="1:25" s="581" customFormat="1" ht="12.75" customHeight="1">
      <c r="A34" s="580"/>
      <c r="B34" s="947"/>
      <c r="C34" s="947"/>
      <c r="D34" s="947"/>
      <c r="E34" s="947"/>
      <c r="F34" s="947"/>
      <c r="G34" s="947"/>
      <c r="H34" s="947"/>
      <c r="I34" s="947"/>
      <c r="J34" s="947"/>
      <c r="K34" s="947"/>
      <c r="L34" s="947"/>
      <c r="M34" s="947"/>
      <c r="N34" s="947"/>
      <c r="O34" s="947"/>
      <c r="P34" s="947"/>
      <c r="Q34" s="947"/>
      <c r="R34" s="580"/>
      <c r="S34" s="948"/>
      <c r="T34" s="948"/>
      <c r="U34" s="948"/>
      <c r="V34" s="948"/>
      <c r="W34" s="948"/>
      <c r="X34" s="948"/>
      <c r="Y34" s="580"/>
    </row>
    <row r="35" spans="1:25" s="581" customFormat="1" ht="12.75" customHeight="1">
      <c r="A35" s="580"/>
      <c r="B35" s="947"/>
      <c r="C35" s="947"/>
      <c r="D35" s="947"/>
      <c r="E35" s="947"/>
      <c r="F35" s="947"/>
      <c r="G35" s="947"/>
      <c r="H35" s="947"/>
      <c r="I35" s="947"/>
      <c r="J35" s="947"/>
      <c r="K35" s="947"/>
      <c r="L35" s="947"/>
      <c r="M35" s="947"/>
      <c r="N35" s="947"/>
      <c r="O35" s="947"/>
      <c r="P35" s="947"/>
      <c r="Q35" s="947"/>
      <c r="R35" s="580"/>
      <c r="S35" s="948"/>
      <c r="T35" s="948"/>
      <c r="U35" s="948"/>
      <c r="V35" s="948"/>
      <c r="W35" s="948"/>
      <c r="X35" s="948"/>
      <c r="Y35" s="580"/>
    </row>
    <row r="36" spans="1:25" s="581" customFormat="1" ht="12.75" customHeight="1">
      <c r="A36" s="580"/>
      <c r="B36" s="947"/>
      <c r="C36" s="947"/>
      <c r="D36" s="947"/>
      <c r="E36" s="947"/>
      <c r="F36" s="947"/>
      <c r="G36" s="947"/>
      <c r="H36" s="947"/>
      <c r="I36" s="947"/>
      <c r="J36" s="947"/>
      <c r="K36" s="947"/>
      <c r="L36" s="947"/>
      <c r="M36" s="947"/>
      <c r="N36" s="947"/>
      <c r="O36" s="947"/>
      <c r="P36" s="947"/>
      <c r="Q36" s="947"/>
      <c r="R36" s="580"/>
      <c r="S36" s="948"/>
      <c r="T36" s="948"/>
      <c r="U36" s="948"/>
      <c r="V36" s="948"/>
      <c r="W36" s="948"/>
      <c r="X36" s="948"/>
      <c r="Y36" s="580"/>
    </row>
    <row r="37" spans="1:25" s="581" customFormat="1" ht="12.75" customHeight="1">
      <c r="A37" s="580"/>
      <c r="B37" s="947"/>
      <c r="C37" s="947"/>
      <c r="D37" s="947"/>
      <c r="E37" s="947"/>
      <c r="F37" s="947"/>
      <c r="G37" s="947"/>
      <c r="H37" s="947"/>
      <c r="I37" s="947"/>
      <c r="J37" s="947"/>
      <c r="K37" s="947"/>
      <c r="L37" s="947"/>
      <c r="M37" s="947"/>
      <c r="N37" s="947"/>
      <c r="O37" s="947"/>
      <c r="P37" s="947"/>
      <c r="Q37" s="947"/>
      <c r="R37" s="580"/>
      <c r="S37" s="948"/>
      <c r="T37" s="948"/>
      <c r="U37" s="948"/>
      <c r="V37" s="948"/>
      <c r="W37" s="948"/>
      <c r="X37" s="948"/>
      <c r="Y37" s="580"/>
    </row>
    <row r="38" spans="1:25" s="581" customFormat="1" ht="12.75" customHeight="1">
      <c r="A38" s="580"/>
      <c r="B38" s="947"/>
      <c r="C38" s="947"/>
      <c r="D38" s="947"/>
      <c r="E38" s="947"/>
      <c r="F38" s="947"/>
      <c r="G38" s="947"/>
      <c r="H38" s="947"/>
      <c r="I38" s="947"/>
      <c r="J38" s="947"/>
      <c r="K38" s="947"/>
      <c r="L38" s="947"/>
      <c r="M38" s="947"/>
      <c r="N38" s="947"/>
      <c r="O38" s="947"/>
      <c r="P38" s="947"/>
      <c r="Q38" s="947"/>
      <c r="R38" s="580"/>
      <c r="S38" s="948"/>
      <c r="T38" s="948"/>
      <c r="U38" s="948"/>
      <c r="V38" s="948"/>
      <c r="W38" s="948"/>
      <c r="X38" s="948"/>
      <c r="Y38" s="580"/>
    </row>
    <row r="39" spans="1:25" s="581" customFormat="1" ht="12.75" customHeight="1">
      <c r="A39" s="580"/>
      <c r="B39" s="947"/>
      <c r="C39" s="947"/>
      <c r="D39" s="947"/>
      <c r="E39" s="947"/>
      <c r="F39" s="947"/>
      <c r="G39" s="947"/>
      <c r="H39" s="947"/>
      <c r="I39" s="947"/>
      <c r="J39" s="947"/>
      <c r="K39" s="947"/>
      <c r="L39" s="947"/>
      <c r="M39" s="947"/>
      <c r="N39" s="947"/>
      <c r="O39" s="947"/>
      <c r="P39" s="947"/>
      <c r="Q39" s="947"/>
      <c r="R39" s="580"/>
      <c r="S39" s="948"/>
      <c r="T39" s="948"/>
      <c r="U39" s="948"/>
      <c r="V39" s="948"/>
      <c r="W39" s="948"/>
      <c r="X39" s="948"/>
      <c r="Y39" s="580"/>
    </row>
    <row r="40" spans="1:25" s="581" customFormat="1" ht="12.75" customHeight="1">
      <c r="A40" s="580"/>
      <c r="B40" s="947"/>
      <c r="C40" s="947"/>
      <c r="D40" s="947"/>
      <c r="E40" s="947"/>
      <c r="F40" s="947"/>
      <c r="G40" s="947"/>
      <c r="H40" s="947"/>
      <c r="I40" s="947"/>
      <c r="J40" s="947"/>
      <c r="K40" s="947"/>
      <c r="L40" s="947"/>
      <c r="M40" s="947"/>
      <c r="N40" s="947"/>
      <c r="O40" s="947"/>
      <c r="P40" s="947"/>
      <c r="Q40" s="947"/>
      <c r="R40" s="580"/>
      <c r="S40" s="948"/>
      <c r="T40" s="948"/>
      <c r="U40" s="948"/>
      <c r="V40" s="948"/>
      <c r="W40" s="948"/>
      <c r="X40" s="948"/>
      <c r="Y40" s="580"/>
    </row>
    <row r="41" spans="1:25" s="581" customFormat="1" ht="12.75" customHeight="1">
      <c r="A41" s="580"/>
      <c r="B41" s="947"/>
      <c r="C41" s="947"/>
      <c r="D41" s="947"/>
      <c r="E41" s="947"/>
      <c r="F41" s="947"/>
      <c r="G41" s="947"/>
      <c r="H41" s="947"/>
      <c r="I41" s="947"/>
      <c r="J41" s="947"/>
      <c r="K41" s="947"/>
      <c r="L41" s="947"/>
      <c r="M41" s="947"/>
      <c r="N41" s="947"/>
      <c r="O41" s="947"/>
      <c r="P41" s="947"/>
      <c r="Q41" s="947"/>
      <c r="R41" s="580"/>
      <c r="S41" s="948"/>
      <c r="T41" s="948"/>
      <c r="U41" s="948"/>
      <c r="V41" s="948"/>
      <c r="W41" s="948"/>
      <c r="X41" s="948"/>
      <c r="Y41" s="580"/>
    </row>
    <row r="42" spans="1:25" s="581" customFormat="1" ht="12.75" customHeight="1">
      <c r="A42" s="580"/>
      <c r="B42" s="947"/>
      <c r="C42" s="947"/>
      <c r="D42" s="947"/>
      <c r="E42" s="947"/>
      <c r="F42" s="947"/>
      <c r="G42" s="947"/>
      <c r="H42" s="947"/>
      <c r="I42" s="947"/>
      <c r="J42" s="947"/>
      <c r="K42" s="947"/>
      <c r="L42" s="947"/>
      <c r="M42" s="947"/>
      <c r="N42" s="947"/>
      <c r="O42" s="947"/>
      <c r="P42" s="947"/>
      <c r="Q42" s="947"/>
      <c r="R42" s="580"/>
      <c r="S42" s="948"/>
      <c r="T42" s="948"/>
      <c r="U42" s="948"/>
      <c r="V42" s="948"/>
      <c r="W42" s="948"/>
      <c r="X42" s="948"/>
      <c r="Y42" s="580"/>
    </row>
    <row r="43" spans="1:25" s="581" customFormat="1" ht="12.75" customHeight="1">
      <c r="A43" s="580"/>
      <c r="B43" s="947"/>
      <c r="C43" s="947"/>
      <c r="D43" s="947"/>
      <c r="E43" s="947"/>
      <c r="F43" s="947"/>
      <c r="G43" s="947"/>
      <c r="H43" s="947"/>
      <c r="I43" s="947"/>
      <c r="J43" s="947"/>
      <c r="K43" s="947"/>
      <c r="L43" s="947"/>
      <c r="M43" s="947"/>
      <c r="N43" s="947"/>
      <c r="O43" s="947"/>
      <c r="P43" s="947"/>
      <c r="Q43" s="947"/>
      <c r="R43" s="580"/>
      <c r="S43" s="948"/>
      <c r="T43" s="948"/>
      <c r="U43" s="948"/>
      <c r="V43" s="948"/>
      <c r="W43" s="948"/>
      <c r="X43" s="948"/>
      <c r="Y43" s="580"/>
    </row>
    <row r="44" spans="1:25" s="581" customFormat="1" ht="12.75" customHeight="1">
      <c r="A44" s="580"/>
      <c r="B44" s="947"/>
      <c r="C44" s="947"/>
      <c r="D44" s="947"/>
      <c r="E44" s="947"/>
      <c r="F44" s="947"/>
      <c r="G44" s="947"/>
      <c r="H44" s="947"/>
      <c r="I44" s="947"/>
      <c r="J44" s="947"/>
      <c r="K44" s="947"/>
      <c r="L44" s="947"/>
      <c r="M44" s="947"/>
      <c r="N44" s="947"/>
      <c r="O44" s="947"/>
      <c r="P44" s="947"/>
      <c r="Q44" s="947"/>
      <c r="R44" s="580"/>
      <c r="S44" s="948"/>
      <c r="T44" s="948"/>
      <c r="U44" s="948"/>
      <c r="V44" s="948"/>
      <c r="W44" s="948"/>
      <c r="X44" s="948"/>
      <c r="Y44" s="580"/>
    </row>
    <row r="45" spans="1:25" s="581" customFormat="1" ht="12.75" customHeight="1">
      <c r="A45" s="580"/>
      <c r="B45" s="947"/>
      <c r="C45" s="947"/>
      <c r="D45" s="947"/>
      <c r="E45" s="947"/>
      <c r="F45" s="947"/>
      <c r="G45" s="947"/>
      <c r="H45" s="947"/>
      <c r="I45" s="947"/>
      <c r="J45" s="947"/>
      <c r="K45" s="947"/>
      <c r="L45" s="947"/>
      <c r="M45" s="947"/>
      <c r="N45" s="947"/>
      <c r="O45" s="947"/>
      <c r="P45" s="947"/>
      <c r="Q45" s="947"/>
      <c r="R45" s="580"/>
      <c r="S45" s="948"/>
      <c r="T45" s="948"/>
      <c r="U45" s="948"/>
      <c r="V45" s="948"/>
      <c r="W45" s="948"/>
      <c r="X45" s="948"/>
      <c r="Y45" s="580"/>
    </row>
    <row r="46" spans="1:25" s="581" customFormat="1" ht="12.75" customHeight="1">
      <c r="A46" s="580"/>
      <c r="B46" s="947"/>
      <c r="C46" s="947"/>
      <c r="D46" s="947"/>
      <c r="E46" s="947"/>
      <c r="F46" s="947"/>
      <c r="G46" s="947"/>
      <c r="H46" s="947"/>
      <c r="I46" s="947"/>
      <c r="J46" s="947"/>
      <c r="K46" s="947"/>
      <c r="L46" s="947"/>
      <c r="M46" s="947"/>
      <c r="N46" s="947"/>
      <c r="O46" s="947"/>
      <c r="P46" s="947"/>
      <c r="Q46" s="947"/>
      <c r="R46" s="580"/>
      <c r="S46" s="948"/>
      <c r="T46" s="948"/>
      <c r="U46" s="948"/>
      <c r="V46" s="948"/>
      <c r="W46" s="948"/>
      <c r="X46" s="948"/>
      <c r="Y46" s="580"/>
    </row>
    <row r="47" spans="1:25" s="581" customFormat="1" ht="12.75" customHeight="1">
      <c r="A47" s="580"/>
      <c r="B47" s="947"/>
      <c r="C47" s="947"/>
      <c r="D47" s="947"/>
      <c r="E47" s="947"/>
      <c r="F47" s="947"/>
      <c r="G47" s="947"/>
      <c r="H47" s="947"/>
      <c r="I47" s="947"/>
      <c r="J47" s="947"/>
      <c r="K47" s="947"/>
      <c r="L47" s="947"/>
      <c r="M47" s="947"/>
      <c r="N47" s="947"/>
      <c r="O47" s="947"/>
      <c r="P47" s="947"/>
      <c r="Q47" s="947"/>
      <c r="R47" s="580"/>
      <c r="S47" s="948"/>
      <c r="T47" s="948"/>
      <c r="U47" s="948"/>
      <c r="V47" s="948"/>
      <c r="W47" s="948"/>
      <c r="X47" s="948"/>
      <c r="Y47" s="580"/>
    </row>
    <row r="48" spans="1:25" s="581" customFormat="1" ht="12.75" customHeight="1">
      <c r="A48" s="580"/>
      <c r="B48" s="947"/>
      <c r="C48" s="947"/>
      <c r="D48" s="947"/>
      <c r="E48" s="947"/>
      <c r="F48" s="947"/>
      <c r="G48" s="947"/>
      <c r="H48" s="947"/>
      <c r="I48" s="947"/>
      <c r="J48" s="947"/>
      <c r="K48" s="947"/>
      <c r="L48" s="947"/>
      <c r="M48" s="947"/>
      <c r="N48" s="947"/>
      <c r="O48" s="947"/>
      <c r="P48" s="947"/>
      <c r="Q48" s="947"/>
      <c r="R48" s="580"/>
      <c r="S48" s="948"/>
      <c r="T48" s="948"/>
      <c r="U48" s="948"/>
      <c r="V48" s="948"/>
      <c r="W48" s="948"/>
      <c r="X48" s="948"/>
      <c r="Y48" s="580"/>
    </row>
    <row r="49" spans="1:25" s="581" customFormat="1" ht="12.75" customHeight="1">
      <c r="A49" s="580"/>
      <c r="B49" s="947"/>
      <c r="C49" s="947"/>
      <c r="D49" s="947"/>
      <c r="E49" s="947"/>
      <c r="F49" s="947"/>
      <c r="G49" s="947"/>
      <c r="H49" s="947"/>
      <c r="I49" s="947"/>
      <c r="J49" s="947"/>
      <c r="K49" s="947"/>
      <c r="L49" s="947"/>
      <c r="M49" s="947"/>
      <c r="N49" s="947"/>
      <c r="O49" s="947"/>
      <c r="P49" s="947"/>
      <c r="Q49" s="947"/>
      <c r="R49" s="580"/>
      <c r="S49" s="948"/>
      <c r="T49" s="948"/>
      <c r="U49" s="948"/>
      <c r="V49" s="948"/>
      <c r="W49" s="948"/>
      <c r="X49" s="948"/>
      <c r="Y49" s="580"/>
    </row>
    <row r="50" spans="1:25" s="581" customFormat="1" ht="12.75" customHeight="1">
      <c r="A50" s="580"/>
      <c r="B50" s="947"/>
      <c r="C50" s="947"/>
      <c r="D50" s="947"/>
      <c r="E50" s="947"/>
      <c r="F50" s="947"/>
      <c r="G50" s="947"/>
      <c r="H50" s="947"/>
      <c r="I50" s="947"/>
      <c r="J50" s="947"/>
      <c r="K50" s="947"/>
      <c r="L50" s="947"/>
      <c r="M50" s="947"/>
      <c r="N50" s="947"/>
      <c r="O50" s="947"/>
      <c r="P50" s="947"/>
      <c r="Q50" s="947"/>
      <c r="R50" s="580"/>
      <c r="S50" s="948"/>
      <c r="T50" s="948"/>
      <c r="U50" s="948"/>
      <c r="V50" s="948"/>
      <c r="W50" s="948"/>
      <c r="X50" s="948"/>
      <c r="Y50" s="580"/>
    </row>
    <row r="51" spans="1:25" s="581" customFormat="1" ht="12.75" customHeight="1">
      <c r="A51" s="580"/>
      <c r="B51" s="947"/>
      <c r="C51" s="947"/>
      <c r="D51" s="947"/>
      <c r="E51" s="947"/>
      <c r="F51" s="947"/>
      <c r="G51" s="947"/>
      <c r="H51" s="947"/>
      <c r="I51" s="947"/>
      <c r="J51" s="947"/>
      <c r="K51" s="947"/>
      <c r="L51" s="947"/>
      <c r="M51" s="947"/>
      <c r="N51" s="947"/>
      <c r="O51" s="947"/>
      <c r="P51" s="947"/>
      <c r="Q51" s="947"/>
      <c r="R51" s="580"/>
      <c r="S51" s="948"/>
      <c r="T51" s="948"/>
      <c r="U51" s="948"/>
      <c r="V51" s="948"/>
      <c r="W51" s="948"/>
      <c r="X51" s="948"/>
      <c r="Y51" s="580"/>
    </row>
    <row r="52" spans="1:25" s="581" customFormat="1" ht="12.75" customHeight="1">
      <c r="A52" s="580"/>
      <c r="B52" s="947"/>
      <c r="C52" s="947"/>
      <c r="D52" s="947"/>
      <c r="E52" s="947"/>
      <c r="F52" s="947"/>
      <c r="G52" s="947"/>
      <c r="H52" s="947"/>
      <c r="I52" s="947"/>
      <c r="J52" s="947"/>
      <c r="K52" s="947"/>
      <c r="L52" s="947"/>
      <c r="M52" s="947"/>
      <c r="N52" s="947"/>
      <c r="O52" s="947"/>
      <c r="P52" s="947"/>
      <c r="Q52" s="947"/>
      <c r="R52" s="580"/>
      <c r="S52" s="948"/>
      <c r="T52" s="948"/>
      <c r="U52" s="948"/>
      <c r="V52" s="948"/>
      <c r="W52" s="948"/>
      <c r="X52" s="948"/>
      <c r="Y52" s="580"/>
    </row>
    <row r="53" spans="1:25" s="581" customFormat="1" ht="12.75" customHeight="1">
      <c r="A53" s="580"/>
      <c r="B53" s="947"/>
      <c r="C53" s="947"/>
      <c r="D53" s="947"/>
      <c r="E53" s="947"/>
      <c r="F53" s="947"/>
      <c r="G53" s="947"/>
      <c r="H53" s="947"/>
      <c r="I53" s="947"/>
      <c r="J53" s="947"/>
      <c r="K53" s="947"/>
      <c r="L53" s="947"/>
      <c r="M53" s="947"/>
      <c r="N53" s="947"/>
      <c r="O53" s="947"/>
      <c r="P53" s="947"/>
      <c r="Q53" s="947"/>
      <c r="R53" s="580"/>
      <c r="S53" s="948"/>
      <c r="T53" s="948"/>
      <c r="U53" s="948"/>
      <c r="V53" s="948"/>
      <c r="W53" s="948"/>
      <c r="X53" s="948"/>
      <c r="Y53" s="580"/>
    </row>
    <row r="54" spans="1:25" s="581" customFormat="1" ht="12.75" customHeight="1">
      <c r="A54" s="580"/>
      <c r="B54" s="947"/>
      <c r="C54" s="947"/>
      <c r="D54" s="947"/>
      <c r="E54" s="947"/>
      <c r="F54" s="947"/>
      <c r="G54" s="947"/>
      <c r="H54" s="947"/>
      <c r="I54" s="947"/>
      <c r="J54" s="947"/>
      <c r="K54" s="947"/>
      <c r="L54" s="947"/>
      <c r="M54" s="947"/>
      <c r="N54" s="947"/>
      <c r="O54" s="947"/>
      <c r="P54" s="947"/>
      <c r="Q54" s="947"/>
      <c r="R54" s="580"/>
      <c r="S54" s="948"/>
      <c r="T54" s="948"/>
      <c r="U54" s="948"/>
      <c r="V54" s="948"/>
      <c r="W54" s="948"/>
      <c r="X54" s="948"/>
      <c r="Y54" s="580"/>
    </row>
    <row r="55" spans="1:25" s="581" customFormat="1" ht="12.75" customHeight="1">
      <c r="A55" s="580"/>
      <c r="B55" s="947"/>
      <c r="C55" s="947"/>
      <c r="D55" s="947"/>
      <c r="E55" s="947"/>
      <c r="F55" s="947"/>
      <c r="G55" s="947"/>
      <c r="H55" s="947"/>
      <c r="I55" s="947"/>
      <c r="J55" s="947"/>
      <c r="K55" s="947"/>
      <c r="L55" s="947"/>
      <c r="M55" s="947"/>
      <c r="N55" s="947"/>
      <c r="O55" s="947"/>
      <c r="P55" s="947"/>
      <c r="Q55" s="947"/>
      <c r="R55" s="580"/>
      <c r="S55" s="948"/>
      <c r="T55" s="948"/>
      <c r="U55" s="948"/>
      <c r="V55" s="948"/>
      <c r="W55" s="948"/>
      <c r="X55" s="948"/>
      <c r="Y55" s="580"/>
    </row>
    <row r="56" spans="1:25" s="581" customFormat="1" ht="12.75" customHeight="1">
      <c r="A56" s="580"/>
      <c r="B56" s="947"/>
      <c r="C56" s="947"/>
      <c r="D56" s="947"/>
      <c r="E56" s="947"/>
      <c r="F56" s="947"/>
      <c r="G56" s="947"/>
      <c r="H56" s="947"/>
      <c r="I56" s="947"/>
      <c r="J56" s="947"/>
      <c r="K56" s="947"/>
      <c r="L56" s="947"/>
      <c r="M56" s="947"/>
      <c r="N56" s="947"/>
      <c r="O56" s="947"/>
      <c r="P56" s="947"/>
      <c r="Q56" s="947"/>
      <c r="R56" s="580"/>
      <c r="S56" s="948"/>
      <c r="T56" s="948"/>
      <c r="U56" s="948"/>
      <c r="V56" s="948"/>
      <c r="W56" s="948"/>
      <c r="X56" s="948"/>
      <c r="Y56" s="580"/>
    </row>
    <row r="57" spans="1:25" s="581" customFormat="1" ht="12.75" customHeight="1">
      <c r="A57" s="580"/>
      <c r="B57" s="947"/>
      <c r="C57" s="947"/>
      <c r="D57" s="947"/>
      <c r="E57" s="947"/>
      <c r="F57" s="947"/>
      <c r="G57" s="947"/>
      <c r="H57" s="947"/>
      <c r="I57" s="947"/>
      <c r="J57" s="947"/>
      <c r="K57" s="947"/>
      <c r="L57" s="947"/>
      <c r="M57" s="947"/>
      <c r="N57" s="947"/>
      <c r="O57" s="947"/>
      <c r="P57" s="947"/>
      <c r="Q57" s="947"/>
      <c r="R57" s="580"/>
      <c r="S57" s="948"/>
      <c r="T57" s="948"/>
      <c r="U57" s="948"/>
      <c r="V57" s="948"/>
      <c r="W57" s="948"/>
      <c r="X57" s="948"/>
      <c r="Y57" s="580"/>
    </row>
    <row r="58" spans="1:25" s="581" customFormat="1" ht="12.75" customHeight="1">
      <c r="A58" s="580"/>
      <c r="B58" s="947"/>
      <c r="C58" s="947"/>
      <c r="D58" s="947"/>
      <c r="E58" s="947"/>
      <c r="F58" s="947"/>
      <c r="G58" s="947"/>
      <c r="H58" s="947"/>
      <c r="I58" s="947"/>
      <c r="J58" s="947"/>
      <c r="K58" s="947"/>
      <c r="L58" s="947"/>
      <c r="M58" s="947"/>
      <c r="N58" s="947"/>
      <c r="O58" s="947"/>
      <c r="P58" s="947"/>
      <c r="Q58" s="947"/>
      <c r="R58" s="580"/>
      <c r="S58" s="948"/>
      <c r="T58" s="948"/>
      <c r="U58" s="948"/>
      <c r="V58" s="948"/>
      <c r="W58" s="948"/>
      <c r="X58" s="948"/>
      <c r="Y58" s="580"/>
    </row>
    <row r="59" spans="1:25" s="581" customFormat="1" ht="12.75" customHeight="1">
      <c r="A59" s="580"/>
      <c r="B59" s="947"/>
      <c r="C59" s="947"/>
      <c r="D59" s="947"/>
      <c r="E59" s="947"/>
      <c r="F59" s="947"/>
      <c r="G59" s="947"/>
      <c r="H59" s="947"/>
      <c r="I59" s="947"/>
      <c r="J59" s="947"/>
      <c r="K59" s="947"/>
      <c r="L59" s="947"/>
      <c r="M59" s="947"/>
      <c r="N59" s="947"/>
      <c r="O59" s="947"/>
      <c r="P59" s="947"/>
      <c r="Q59" s="947"/>
      <c r="R59" s="580"/>
      <c r="S59" s="948"/>
      <c r="T59" s="948"/>
      <c r="U59" s="948"/>
      <c r="V59" s="948"/>
      <c r="W59" s="948"/>
      <c r="X59" s="948"/>
      <c r="Y59" s="580"/>
    </row>
    <row r="60" spans="1:25" s="581" customFormat="1" ht="12.75" customHeight="1">
      <c r="A60" s="580"/>
      <c r="B60" s="947"/>
      <c r="C60" s="947"/>
      <c r="D60" s="947"/>
      <c r="E60" s="947"/>
      <c r="F60" s="947"/>
      <c r="G60" s="947"/>
      <c r="H60" s="947"/>
      <c r="I60" s="947"/>
      <c r="J60" s="947"/>
      <c r="K60" s="947"/>
      <c r="L60" s="947"/>
      <c r="M60" s="947"/>
      <c r="N60" s="947"/>
      <c r="O60" s="947"/>
      <c r="P60" s="947"/>
      <c r="Q60" s="947"/>
      <c r="R60" s="580"/>
      <c r="S60" s="948"/>
      <c r="T60" s="948"/>
      <c r="U60" s="948"/>
      <c r="V60" s="948"/>
      <c r="W60" s="948"/>
      <c r="X60" s="948"/>
      <c r="Y60" s="580"/>
    </row>
    <row r="61" spans="1:25" s="581" customFormat="1" ht="12.75" customHeight="1">
      <c r="A61" s="580"/>
      <c r="B61" s="947"/>
      <c r="C61" s="947"/>
      <c r="D61" s="947"/>
      <c r="E61" s="947"/>
      <c r="F61" s="947"/>
      <c r="G61" s="947"/>
      <c r="H61" s="947"/>
      <c r="I61" s="947"/>
      <c r="J61" s="947"/>
      <c r="K61" s="947"/>
      <c r="L61" s="947"/>
      <c r="M61" s="947"/>
      <c r="N61" s="947"/>
      <c r="O61" s="947"/>
      <c r="P61" s="947"/>
      <c r="Q61" s="947"/>
      <c r="R61" s="580"/>
      <c r="S61" s="948"/>
      <c r="T61" s="948"/>
      <c r="U61" s="948"/>
      <c r="V61" s="948"/>
      <c r="W61" s="948"/>
      <c r="X61" s="948"/>
      <c r="Y61" s="580"/>
    </row>
    <row r="62" spans="1:25" s="581" customFormat="1" ht="12.75" customHeight="1">
      <c r="A62" s="580"/>
      <c r="B62" s="947"/>
      <c r="C62" s="947"/>
      <c r="D62" s="947"/>
      <c r="E62" s="947"/>
      <c r="F62" s="947"/>
      <c r="G62" s="947"/>
      <c r="H62" s="947"/>
      <c r="I62" s="947"/>
      <c r="J62" s="947"/>
      <c r="K62" s="947"/>
      <c r="L62" s="947"/>
      <c r="M62" s="947"/>
      <c r="N62" s="947"/>
      <c r="O62" s="947"/>
      <c r="P62" s="947"/>
      <c r="Q62" s="947"/>
      <c r="R62" s="580"/>
      <c r="S62" s="948"/>
      <c r="T62" s="948"/>
      <c r="U62" s="948"/>
      <c r="V62" s="948"/>
      <c r="W62" s="948"/>
      <c r="X62" s="948"/>
      <c r="Y62" s="580"/>
    </row>
    <row r="63" spans="1:25" s="581" customFormat="1" ht="12.75" customHeight="1">
      <c r="A63" s="580"/>
      <c r="B63" s="947"/>
      <c r="C63" s="947"/>
      <c r="D63" s="947"/>
      <c r="E63" s="947"/>
      <c r="F63" s="947"/>
      <c r="G63" s="947"/>
      <c r="H63" s="947"/>
      <c r="I63" s="947"/>
      <c r="J63" s="947"/>
      <c r="K63" s="947"/>
      <c r="L63" s="947"/>
      <c r="M63" s="947"/>
      <c r="N63" s="947"/>
      <c r="O63" s="947"/>
      <c r="P63" s="947"/>
      <c r="Q63" s="947"/>
      <c r="R63" s="580"/>
      <c r="S63" s="948"/>
      <c r="T63" s="948"/>
      <c r="U63" s="948"/>
      <c r="V63" s="948"/>
      <c r="W63" s="948"/>
      <c r="X63" s="948"/>
      <c r="Y63" s="580"/>
    </row>
    <row r="64" spans="1:25" s="581" customFormat="1" ht="12.75" customHeight="1">
      <c r="A64" s="580"/>
      <c r="B64" s="947"/>
      <c r="C64" s="947"/>
      <c r="D64" s="947"/>
      <c r="E64" s="947"/>
      <c r="F64" s="947"/>
      <c r="G64" s="947"/>
      <c r="H64" s="947"/>
      <c r="I64" s="947"/>
      <c r="J64" s="947"/>
      <c r="K64" s="947"/>
      <c r="L64" s="947"/>
      <c r="M64" s="947"/>
      <c r="N64" s="947"/>
      <c r="O64" s="947"/>
      <c r="P64" s="947"/>
      <c r="Q64" s="947"/>
      <c r="R64" s="580"/>
      <c r="S64" s="948"/>
      <c r="T64" s="948"/>
      <c r="U64" s="948"/>
      <c r="V64" s="948"/>
      <c r="W64" s="948"/>
      <c r="X64" s="948"/>
      <c r="Y64" s="580"/>
    </row>
    <row r="65" spans="1:25" s="581" customFormat="1" ht="12.75" customHeight="1">
      <c r="A65" s="580"/>
      <c r="B65" s="947"/>
      <c r="C65" s="947"/>
      <c r="D65" s="947"/>
      <c r="E65" s="947"/>
      <c r="F65" s="947"/>
      <c r="G65" s="947"/>
      <c r="H65" s="947"/>
      <c r="I65" s="947"/>
      <c r="J65" s="947"/>
      <c r="K65" s="947"/>
      <c r="L65" s="947"/>
      <c r="M65" s="947"/>
      <c r="N65" s="947"/>
      <c r="O65" s="947"/>
      <c r="P65" s="947"/>
      <c r="Q65" s="947"/>
      <c r="R65" s="580"/>
      <c r="S65" s="948"/>
      <c r="T65" s="948"/>
      <c r="U65" s="948"/>
      <c r="V65" s="948"/>
      <c r="W65" s="948"/>
      <c r="X65" s="948"/>
      <c r="Y65" s="580"/>
    </row>
    <row r="66" spans="1:25" s="581" customFormat="1" ht="12.75" customHeight="1">
      <c r="A66" s="580"/>
      <c r="B66" s="947"/>
      <c r="C66" s="947"/>
      <c r="D66" s="947"/>
      <c r="E66" s="947"/>
      <c r="F66" s="947"/>
      <c r="G66" s="947"/>
      <c r="H66" s="947"/>
      <c r="I66" s="947"/>
      <c r="J66" s="947"/>
      <c r="K66" s="947"/>
      <c r="L66" s="947"/>
      <c r="M66" s="947"/>
      <c r="N66" s="947"/>
      <c r="O66" s="947"/>
      <c r="P66" s="947"/>
      <c r="Q66" s="947"/>
      <c r="R66" s="580"/>
      <c r="S66" s="948"/>
      <c r="T66" s="948"/>
      <c r="U66" s="948"/>
      <c r="V66" s="948"/>
      <c r="W66" s="948"/>
      <c r="X66" s="948"/>
      <c r="Y66" s="580"/>
    </row>
    <row r="67" spans="1:25" s="581" customFormat="1" ht="12.75" customHeight="1">
      <c r="A67" s="580"/>
      <c r="B67" s="947"/>
      <c r="C67" s="947"/>
      <c r="D67" s="947"/>
      <c r="E67" s="947"/>
      <c r="F67" s="947"/>
      <c r="G67" s="947"/>
      <c r="H67" s="947"/>
      <c r="I67" s="947"/>
      <c r="J67" s="947"/>
      <c r="K67" s="947"/>
      <c r="L67" s="947"/>
      <c r="M67" s="947"/>
      <c r="N67" s="947"/>
      <c r="O67" s="947"/>
      <c r="P67" s="947"/>
      <c r="Q67" s="947"/>
      <c r="R67" s="580"/>
      <c r="S67" s="948"/>
      <c r="T67" s="948"/>
      <c r="U67" s="948"/>
      <c r="V67" s="948"/>
      <c r="W67" s="948"/>
      <c r="X67" s="948"/>
      <c r="Y67" s="580"/>
    </row>
    <row r="68" spans="1:25" s="581" customFormat="1" ht="12.75" customHeight="1">
      <c r="A68" s="580"/>
      <c r="B68" s="947"/>
      <c r="C68" s="947"/>
      <c r="D68" s="947"/>
      <c r="E68" s="947"/>
      <c r="F68" s="947"/>
      <c r="G68" s="947"/>
      <c r="H68" s="947"/>
      <c r="I68" s="947"/>
      <c r="J68" s="947"/>
      <c r="K68" s="947"/>
      <c r="L68" s="947"/>
      <c r="M68" s="947"/>
      <c r="N68" s="947"/>
      <c r="O68" s="947"/>
      <c r="P68" s="947"/>
      <c r="Q68" s="947"/>
      <c r="R68" s="580"/>
      <c r="S68" s="948"/>
      <c r="T68" s="948"/>
      <c r="U68" s="948"/>
      <c r="V68" s="948"/>
      <c r="W68" s="948"/>
      <c r="X68" s="948"/>
      <c r="Y68" s="580"/>
    </row>
    <row r="69" spans="1:25" s="581" customFormat="1" ht="12.75" customHeight="1">
      <c r="A69" s="580"/>
      <c r="B69" s="947"/>
      <c r="C69" s="947"/>
      <c r="D69" s="947"/>
      <c r="E69" s="947"/>
      <c r="F69" s="947"/>
      <c r="G69" s="947"/>
      <c r="H69" s="947"/>
      <c r="I69" s="947"/>
      <c r="J69" s="947"/>
      <c r="K69" s="947"/>
      <c r="L69" s="947"/>
      <c r="M69" s="947"/>
      <c r="N69" s="947"/>
      <c r="O69" s="947"/>
      <c r="P69" s="947"/>
      <c r="Q69" s="947"/>
      <c r="R69" s="580"/>
      <c r="S69" s="948"/>
      <c r="T69" s="948"/>
      <c r="U69" s="948"/>
      <c r="V69" s="948"/>
      <c r="W69" s="948"/>
      <c r="X69" s="948"/>
      <c r="Y69" s="580"/>
    </row>
    <row r="70" spans="1:25" s="581" customFormat="1" ht="12.75" customHeight="1">
      <c r="A70" s="580"/>
      <c r="B70" s="947"/>
      <c r="C70" s="947"/>
      <c r="D70" s="947"/>
      <c r="E70" s="947"/>
      <c r="F70" s="947"/>
      <c r="G70" s="947"/>
      <c r="H70" s="947"/>
      <c r="I70" s="947"/>
      <c r="J70" s="947"/>
      <c r="K70" s="947"/>
      <c r="L70" s="947"/>
      <c r="M70" s="947"/>
      <c r="N70" s="947"/>
      <c r="O70" s="947"/>
      <c r="P70" s="947"/>
      <c r="Q70" s="947"/>
      <c r="R70" s="580"/>
      <c r="S70" s="948"/>
      <c r="T70" s="948"/>
      <c r="U70" s="948"/>
      <c r="V70" s="948"/>
      <c r="W70" s="948"/>
      <c r="X70" s="948"/>
      <c r="Y70" s="580"/>
    </row>
    <row r="71" spans="1:25" s="581" customFormat="1" ht="12.75" customHeight="1">
      <c r="A71" s="580"/>
      <c r="B71" s="947"/>
      <c r="C71" s="947"/>
      <c r="D71" s="947"/>
      <c r="E71" s="947"/>
      <c r="F71" s="947"/>
      <c r="G71" s="947"/>
      <c r="H71" s="947"/>
      <c r="I71" s="947"/>
      <c r="J71" s="947"/>
      <c r="K71" s="947"/>
      <c r="L71" s="947"/>
      <c r="M71" s="947"/>
      <c r="N71" s="947"/>
      <c r="O71" s="947"/>
      <c r="P71" s="947"/>
      <c r="Q71" s="947"/>
      <c r="R71" s="580"/>
      <c r="S71" s="948"/>
      <c r="T71" s="948"/>
      <c r="U71" s="948"/>
      <c r="V71" s="948"/>
      <c r="W71" s="948"/>
      <c r="X71" s="948"/>
      <c r="Y71" s="580"/>
    </row>
    <row r="72" spans="1:25" s="581" customFormat="1" ht="12.75" customHeight="1">
      <c r="A72" s="580"/>
      <c r="B72" s="947"/>
      <c r="C72" s="947"/>
      <c r="D72" s="947"/>
      <c r="E72" s="947"/>
      <c r="F72" s="947"/>
      <c r="G72" s="947"/>
      <c r="H72" s="947"/>
      <c r="I72" s="947"/>
      <c r="J72" s="947"/>
      <c r="K72" s="947"/>
      <c r="L72" s="947"/>
      <c r="M72" s="947"/>
      <c r="N72" s="947"/>
      <c r="O72" s="947"/>
      <c r="P72" s="947"/>
      <c r="Q72" s="947"/>
      <c r="R72" s="580"/>
      <c r="S72" s="948"/>
      <c r="T72" s="948"/>
      <c r="U72" s="948"/>
      <c r="V72" s="948"/>
      <c r="W72" s="948"/>
      <c r="X72" s="948"/>
      <c r="Y72" s="580"/>
    </row>
    <row r="73" spans="1:25" s="581" customFormat="1" ht="12.75" customHeight="1">
      <c r="A73" s="580"/>
      <c r="B73" s="947"/>
      <c r="C73" s="947"/>
      <c r="D73" s="947"/>
      <c r="E73" s="947"/>
      <c r="F73" s="947"/>
      <c r="G73" s="947"/>
      <c r="H73" s="947"/>
      <c r="I73" s="947"/>
      <c r="J73" s="947"/>
      <c r="K73" s="947"/>
      <c r="L73" s="947"/>
      <c r="M73" s="947"/>
      <c r="N73" s="947"/>
      <c r="O73" s="947"/>
      <c r="P73" s="947"/>
      <c r="Q73" s="947"/>
      <c r="R73" s="580"/>
      <c r="S73" s="948"/>
      <c r="T73" s="948"/>
      <c r="U73" s="948"/>
      <c r="V73" s="948"/>
      <c r="W73" s="948"/>
      <c r="X73" s="948"/>
      <c r="Y73" s="580"/>
    </row>
    <row r="74" spans="1:25" s="581" customFormat="1" ht="12.75" customHeight="1">
      <c r="A74" s="580"/>
      <c r="B74" s="947"/>
      <c r="C74" s="947"/>
      <c r="D74" s="947"/>
      <c r="E74" s="947"/>
      <c r="F74" s="947"/>
      <c r="G74" s="947"/>
      <c r="H74" s="947"/>
      <c r="I74" s="947"/>
      <c r="J74" s="947"/>
      <c r="K74" s="947"/>
      <c r="L74" s="947"/>
      <c r="M74" s="947"/>
      <c r="N74" s="947"/>
      <c r="O74" s="947"/>
      <c r="P74" s="947"/>
      <c r="Q74" s="947"/>
      <c r="R74" s="580"/>
      <c r="S74" s="948"/>
      <c r="T74" s="948"/>
      <c r="U74" s="948"/>
      <c r="V74" s="948"/>
      <c r="W74" s="948"/>
      <c r="X74" s="948"/>
      <c r="Y74" s="580"/>
    </row>
    <row r="75" spans="1:25" s="581" customFormat="1" ht="12.75" customHeight="1">
      <c r="A75" s="580"/>
      <c r="B75" s="947"/>
      <c r="C75" s="947"/>
      <c r="D75" s="947"/>
      <c r="E75" s="947"/>
      <c r="F75" s="947"/>
      <c r="G75" s="947"/>
      <c r="H75" s="947"/>
      <c r="I75" s="947"/>
      <c r="J75" s="947"/>
      <c r="K75" s="947"/>
      <c r="L75" s="947"/>
      <c r="M75" s="947"/>
      <c r="N75" s="947"/>
      <c r="O75" s="947"/>
      <c r="P75" s="947"/>
      <c r="Q75" s="947"/>
      <c r="R75" s="580"/>
      <c r="S75" s="948"/>
      <c r="T75" s="948"/>
      <c r="U75" s="948"/>
      <c r="V75" s="948"/>
      <c r="W75" s="948"/>
      <c r="X75" s="948"/>
      <c r="Y75" s="580"/>
    </row>
    <row r="76" spans="1:25" s="581" customFormat="1" ht="12.75" customHeight="1">
      <c r="A76" s="580"/>
      <c r="B76" s="947"/>
      <c r="C76" s="947"/>
      <c r="D76" s="947"/>
      <c r="E76" s="947"/>
      <c r="F76" s="947"/>
      <c r="G76" s="947"/>
      <c r="H76" s="947"/>
      <c r="I76" s="947"/>
      <c r="J76" s="947"/>
      <c r="K76" s="947"/>
      <c r="L76" s="947"/>
      <c r="M76" s="947"/>
      <c r="N76" s="947"/>
      <c r="O76" s="947"/>
      <c r="P76" s="947"/>
      <c r="Q76" s="947"/>
      <c r="R76" s="580"/>
      <c r="S76" s="948"/>
      <c r="T76" s="948"/>
      <c r="U76" s="948"/>
      <c r="V76" s="948"/>
      <c r="W76" s="948"/>
      <c r="X76" s="948"/>
      <c r="Y76" s="580"/>
    </row>
    <row r="77" spans="1:25" s="581" customFormat="1" ht="12.75" customHeight="1">
      <c r="A77" s="580"/>
      <c r="B77" s="947"/>
      <c r="C77" s="947"/>
      <c r="D77" s="947"/>
      <c r="E77" s="947"/>
      <c r="F77" s="947"/>
      <c r="G77" s="947"/>
      <c r="H77" s="947"/>
      <c r="I77" s="947"/>
      <c r="J77" s="947"/>
      <c r="K77" s="947"/>
      <c r="L77" s="947"/>
      <c r="M77" s="947"/>
      <c r="N77" s="947"/>
      <c r="O77" s="947"/>
      <c r="P77" s="947"/>
      <c r="Q77" s="947"/>
      <c r="R77" s="580"/>
      <c r="S77" s="948"/>
      <c r="T77" s="948"/>
      <c r="U77" s="948"/>
      <c r="V77" s="948"/>
      <c r="W77" s="948"/>
      <c r="X77" s="948"/>
      <c r="Y77" s="580"/>
    </row>
    <row r="78" spans="1:25" s="581" customFormat="1" ht="12.75" customHeight="1">
      <c r="A78" s="580"/>
      <c r="B78" s="947"/>
      <c r="C78" s="947"/>
      <c r="D78" s="947"/>
      <c r="E78" s="947"/>
      <c r="F78" s="947"/>
      <c r="G78" s="947"/>
      <c r="H78" s="947"/>
      <c r="I78" s="947"/>
      <c r="J78" s="947"/>
      <c r="K78" s="947"/>
      <c r="L78" s="947"/>
      <c r="M78" s="947"/>
      <c r="N78" s="947"/>
      <c r="O78" s="947"/>
      <c r="P78" s="947"/>
      <c r="Q78" s="947"/>
      <c r="R78" s="580"/>
      <c r="S78" s="948"/>
      <c r="T78" s="948"/>
      <c r="U78" s="948"/>
      <c r="V78" s="948"/>
      <c r="W78" s="948"/>
      <c r="X78" s="948"/>
      <c r="Y78" s="580"/>
    </row>
  </sheetData>
  <mergeCells count="424">
    <mergeCell ref="B78:F78"/>
    <mergeCell ref="G78:M78"/>
    <mergeCell ref="N78:O78"/>
    <mergeCell ref="P78:Q78"/>
    <mergeCell ref="S78:U78"/>
    <mergeCell ref="V78:X78"/>
    <mergeCell ref="B77:F77"/>
    <mergeCell ref="G77:M77"/>
    <mergeCell ref="N77:O77"/>
    <mergeCell ref="P77:Q77"/>
    <mergeCell ref="S77:U77"/>
    <mergeCell ref="V77:X77"/>
    <mergeCell ref="B76:F76"/>
    <mergeCell ref="G76:M76"/>
    <mergeCell ref="N76:O76"/>
    <mergeCell ref="P76:Q76"/>
    <mergeCell ref="S76:U76"/>
    <mergeCell ref="V76:X76"/>
    <mergeCell ref="B75:F75"/>
    <mergeCell ref="G75:M75"/>
    <mergeCell ref="N75:O75"/>
    <mergeCell ref="P75:Q75"/>
    <mergeCell ref="S75:U75"/>
    <mergeCell ref="V75:X75"/>
    <mergeCell ref="B74:F74"/>
    <mergeCell ref="G74:M74"/>
    <mergeCell ref="N74:O74"/>
    <mergeCell ref="P74:Q74"/>
    <mergeCell ref="S74:U74"/>
    <mergeCell ref="V74:X74"/>
    <mergeCell ref="B73:F73"/>
    <mergeCell ref="G73:M73"/>
    <mergeCell ref="N73:O73"/>
    <mergeCell ref="P73:Q73"/>
    <mergeCell ref="S73:U73"/>
    <mergeCell ref="V73:X73"/>
    <mergeCell ref="B72:F72"/>
    <mergeCell ref="G72:M72"/>
    <mergeCell ref="N72:O72"/>
    <mergeCell ref="P72:Q72"/>
    <mergeCell ref="S72:U72"/>
    <mergeCell ref="V72:X72"/>
    <mergeCell ref="B71:F71"/>
    <mergeCell ref="G71:M71"/>
    <mergeCell ref="N71:O71"/>
    <mergeCell ref="P71:Q71"/>
    <mergeCell ref="S71:U71"/>
    <mergeCell ref="V71:X71"/>
    <mergeCell ref="B70:F70"/>
    <mergeCell ref="G70:M70"/>
    <mergeCell ref="N70:O70"/>
    <mergeCell ref="P70:Q70"/>
    <mergeCell ref="S70:U70"/>
    <mergeCell ref="V70:X70"/>
    <mergeCell ref="B69:F69"/>
    <mergeCell ref="G69:M69"/>
    <mergeCell ref="N69:O69"/>
    <mergeCell ref="P69:Q69"/>
    <mergeCell ref="S69:U69"/>
    <mergeCell ref="V69:X69"/>
    <mergeCell ref="B68:F68"/>
    <mergeCell ref="G68:M68"/>
    <mergeCell ref="N68:O68"/>
    <mergeCell ref="P68:Q68"/>
    <mergeCell ref="S68:U68"/>
    <mergeCell ref="V68:X68"/>
    <mergeCell ref="B67:F67"/>
    <mergeCell ref="G67:M67"/>
    <mergeCell ref="N67:O67"/>
    <mergeCell ref="P67:Q67"/>
    <mergeCell ref="S67:U67"/>
    <mergeCell ref="V67:X67"/>
    <mergeCell ref="B66:F66"/>
    <mergeCell ref="G66:M66"/>
    <mergeCell ref="N66:O66"/>
    <mergeCell ref="P66:Q66"/>
    <mergeCell ref="S66:U66"/>
    <mergeCell ref="V66:X66"/>
    <mergeCell ref="B65:F65"/>
    <mergeCell ref="G65:M65"/>
    <mergeCell ref="N65:O65"/>
    <mergeCell ref="P65:Q65"/>
    <mergeCell ref="S65:U65"/>
    <mergeCell ref="V65:X65"/>
    <mergeCell ref="B64:F64"/>
    <mergeCell ref="G64:M64"/>
    <mergeCell ref="N64:O64"/>
    <mergeCell ref="P64:Q64"/>
    <mergeCell ref="S64:U64"/>
    <mergeCell ref="V64:X64"/>
    <mergeCell ref="B63:F63"/>
    <mergeCell ref="G63:M63"/>
    <mergeCell ref="N63:O63"/>
    <mergeCell ref="P63:Q63"/>
    <mergeCell ref="S63:U63"/>
    <mergeCell ref="V63:X63"/>
    <mergeCell ref="B62:F62"/>
    <mergeCell ref="G62:M62"/>
    <mergeCell ref="N62:O62"/>
    <mergeCell ref="P62:Q62"/>
    <mergeCell ref="S62:U62"/>
    <mergeCell ref="V62:X62"/>
    <mergeCell ref="B61:F61"/>
    <mergeCell ref="G61:M61"/>
    <mergeCell ref="N61:O61"/>
    <mergeCell ref="P61:Q61"/>
    <mergeCell ref="S61:U61"/>
    <mergeCell ref="V61:X61"/>
    <mergeCell ref="B60:F60"/>
    <mergeCell ref="G60:M60"/>
    <mergeCell ref="N60:O60"/>
    <mergeCell ref="P60:Q60"/>
    <mergeCell ref="S60:U60"/>
    <mergeCell ref="V60:X60"/>
    <mergeCell ref="B59:F59"/>
    <mergeCell ref="G59:M59"/>
    <mergeCell ref="N59:O59"/>
    <mergeCell ref="P59:Q59"/>
    <mergeCell ref="S59:U59"/>
    <mergeCell ref="V59:X59"/>
    <mergeCell ref="B58:F58"/>
    <mergeCell ref="G58:M58"/>
    <mergeCell ref="N58:O58"/>
    <mergeCell ref="P58:Q58"/>
    <mergeCell ref="S58:U58"/>
    <mergeCell ref="V58:X58"/>
    <mergeCell ref="B57:F57"/>
    <mergeCell ref="G57:M57"/>
    <mergeCell ref="N57:O57"/>
    <mergeCell ref="P57:Q57"/>
    <mergeCell ref="S57:U57"/>
    <mergeCell ref="V57:X57"/>
    <mergeCell ref="B56:F56"/>
    <mergeCell ref="G56:M56"/>
    <mergeCell ref="N56:O56"/>
    <mergeCell ref="P56:Q56"/>
    <mergeCell ref="S56:U56"/>
    <mergeCell ref="V56:X56"/>
    <mergeCell ref="B55:F55"/>
    <mergeCell ref="G55:M55"/>
    <mergeCell ref="N55:O55"/>
    <mergeCell ref="P55:Q55"/>
    <mergeCell ref="S55:U55"/>
    <mergeCell ref="V55:X55"/>
    <mergeCell ref="B54:F54"/>
    <mergeCell ref="G54:M54"/>
    <mergeCell ref="N54:O54"/>
    <mergeCell ref="P54:Q54"/>
    <mergeCell ref="S54:U54"/>
    <mergeCell ref="V54:X54"/>
    <mergeCell ref="B53:F53"/>
    <mergeCell ref="G53:M53"/>
    <mergeCell ref="N53:O53"/>
    <mergeCell ref="P53:Q53"/>
    <mergeCell ref="S53:U53"/>
    <mergeCell ref="V53:X53"/>
    <mergeCell ref="B52:F52"/>
    <mergeCell ref="G52:M52"/>
    <mergeCell ref="N52:O52"/>
    <mergeCell ref="P52:Q52"/>
    <mergeCell ref="S52:U52"/>
    <mergeCell ref="V52:X52"/>
    <mergeCell ref="B51:F51"/>
    <mergeCell ref="G51:M51"/>
    <mergeCell ref="N51:O51"/>
    <mergeCell ref="P51:Q51"/>
    <mergeCell ref="S51:U51"/>
    <mergeCell ref="V51:X51"/>
    <mergeCell ref="B50:F50"/>
    <mergeCell ref="G50:M50"/>
    <mergeCell ref="N50:O50"/>
    <mergeCell ref="P50:Q50"/>
    <mergeCell ref="S50:U50"/>
    <mergeCell ref="V50:X50"/>
    <mergeCell ref="B49:F49"/>
    <mergeCell ref="G49:M49"/>
    <mergeCell ref="N49:O49"/>
    <mergeCell ref="P49:Q49"/>
    <mergeCell ref="S49:U49"/>
    <mergeCell ref="V49:X49"/>
    <mergeCell ref="B48:F48"/>
    <mergeCell ref="G48:M48"/>
    <mergeCell ref="N48:O48"/>
    <mergeCell ref="P48:Q48"/>
    <mergeCell ref="S48:U48"/>
    <mergeCell ref="V48:X48"/>
    <mergeCell ref="B47:F47"/>
    <mergeCell ref="G47:M47"/>
    <mergeCell ref="N47:O47"/>
    <mergeCell ref="P47:Q47"/>
    <mergeCell ref="S47:U47"/>
    <mergeCell ref="V47:X47"/>
    <mergeCell ref="B46:F46"/>
    <mergeCell ref="G46:M46"/>
    <mergeCell ref="N46:O46"/>
    <mergeCell ref="P46:Q46"/>
    <mergeCell ref="S46:U46"/>
    <mergeCell ref="V46:X46"/>
    <mergeCell ref="B45:F45"/>
    <mergeCell ref="G45:M45"/>
    <mergeCell ref="N45:O45"/>
    <mergeCell ref="P45:Q45"/>
    <mergeCell ref="S45:U45"/>
    <mergeCell ref="V45:X45"/>
    <mergeCell ref="B44:F44"/>
    <mergeCell ref="G44:M44"/>
    <mergeCell ref="N44:O44"/>
    <mergeCell ref="P44:Q44"/>
    <mergeCell ref="S44:U44"/>
    <mergeCell ref="V44:X44"/>
    <mergeCell ref="B43:F43"/>
    <mergeCell ref="G43:M43"/>
    <mergeCell ref="N43:O43"/>
    <mergeCell ref="P43:Q43"/>
    <mergeCell ref="S43:U43"/>
    <mergeCell ref="V43:X43"/>
    <mergeCell ref="B42:F42"/>
    <mergeCell ref="G42:M42"/>
    <mergeCell ref="N42:O42"/>
    <mergeCell ref="P42:Q42"/>
    <mergeCell ref="S42:U42"/>
    <mergeCell ref="V42:X42"/>
    <mergeCell ref="B41:F41"/>
    <mergeCell ref="G41:M41"/>
    <mergeCell ref="N41:O41"/>
    <mergeCell ref="P41:Q41"/>
    <mergeCell ref="S41:U41"/>
    <mergeCell ref="V41:X41"/>
    <mergeCell ref="B40:F40"/>
    <mergeCell ref="G40:M40"/>
    <mergeCell ref="N40:O40"/>
    <mergeCell ref="P40:Q40"/>
    <mergeCell ref="S40:U40"/>
    <mergeCell ref="V40:X40"/>
    <mergeCell ref="B39:F39"/>
    <mergeCell ref="G39:M39"/>
    <mergeCell ref="N39:O39"/>
    <mergeCell ref="P39:Q39"/>
    <mergeCell ref="S39:U39"/>
    <mergeCell ref="V39:X39"/>
    <mergeCell ref="B38:F38"/>
    <mergeCell ref="G38:M38"/>
    <mergeCell ref="N38:O38"/>
    <mergeCell ref="P38:Q38"/>
    <mergeCell ref="S38:U38"/>
    <mergeCell ref="V38:X38"/>
    <mergeCell ref="B37:F37"/>
    <mergeCell ref="G37:M37"/>
    <mergeCell ref="N37:O37"/>
    <mergeCell ref="P37:Q37"/>
    <mergeCell ref="S37:U37"/>
    <mergeCell ref="V37:X37"/>
    <mergeCell ref="B36:F36"/>
    <mergeCell ref="G36:M36"/>
    <mergeCell ref="N36:O36"/>
    <mergeCell ref="P36:Q36"/>
    <mergeCell ref="S36:U36"/>
    <mergeCell ref="V36:X36"/>
    <mergeCell ref="B35:F35"/>
    <mergeCell ref="G35:M35"/>
    <mergeCell ref="N35:O35"/>
    <mergeCell ref="P35:Q35"/>
    <mergeCell ref="S35:U35"/>
    <mergeCell ref="V35:X35"/>
    <mergeCell ref="B34:F34"/>
    <mergeCell ref="G34:M34"/>
    <mergeCell ref="N34:O34"/>
    <mergeCell ref="P34:Q34"/>
    <mergeCell ref="S34:U34"/>
    <mergeCell ref="V34:X34"/>
    <mergeCell ref="B33:F33"/>
    <mergeCell ref="G33:M33"/>
    <mergeCell ref="N33:O33"/>
    <mergeCell ref="P33:Q33"/>
    <mergeCell ref="S33:U33"/>
    <mergeCell ref="V33:X33"/>
    <mergeCell ref="B32:F32"/>
    <mergeCell ref="G32:M32"/>
    <mergeCell ref="N32:O32"/>
    <mergeCell ref="P32:Q32"/>
    <mergeCell ref="S32:U32"/>
    <mergeCell ref="V32:X32"/>
    <mergeCell ref="B31:F31"/>
    <mergeCell ref="G31:M31"/>
    <mergeCell ref="N31:O31"/>
    <mergeCell ref="P31:Q31"/>
    <mergeCell ref="S31:U31"/>
    <mergeCell ref="V31:X31"/>
    <mergeCell ref="B30:F30"/>
    <mergeCell ref="G30:M30"/>
    <mergeCell ref="N30:O30"/>
    <mergeCell ref="P30:Q30"/>
    <mergeCell ref="S30:U30"/>
    <mergeCell ref="V30:X30"/>
    <mergeCell ref="B29:F29"/>
    <mergeCell ref="G29:M29"/>
    <mergeCell ref="N29:O29"/>
    <mergeCell ref="P29:Q29"/>
    <mergeCell ref="S29:U29"/>
    <mergeCell ref="V29:X29"/>
    <mergeCell ref="B28:F28"/>
    <mergeCell ref="G28:M28"/>
    <mergeCell ref="N28:O28"/>
    <mergeCell ref="P28:Q28"/>
    <mergeCell ref="S28:U28"/>
    <mergeCell ref="V28:X28"/>
    <mergeCell ref="B27:F27"/>
    <mergeCell ref="G27:M27"/>
    <mergeCell ref="N27:O27"/>
    <mergeCell ref="P27:Q27"/>
    <mergeCell ref="S27:U27"/>
    <mergeCell ref="V27:X27"/>
    <mergeCell ref="B26:F26"/>
    <mergeCell ref="G26:M26"/>
    <mergeCell ref="N26:O26"/>
    <mergeCell ref="P26:Q26"/>
    <mergeCell ref="S26:U26"/>
    <mergeCell ref="V26:X26"/>
    <mergeCell ref="B25:F25"/>
    <mergeCell ref="G25:M25"/>
    <mergeCell ref="N25:O25"/>
    <mergeCell ref="P25:Q25"/>
    <mergeCell ref="S25:U25"/>
    <mergeCell ref="V25:X25"/>
    <mergeCell ref="B24:F24"/>
    <mergeCell ref="G24:M24"/>
    <mergeCell ref="N24:O24"/>
    <mergeCell ref="P24:Q24"/>
    <mergeCell ref="S24:U24"/>
    <mergeCell ref="V24:X24"/>
    <mergeCell ref="B23:F23"/>
    <mergeCell ref="G23:M23"/>
    <mergeCell ref="N23:O23"/>
    <mergeCell ref="P23:Q23"/>
    <mergeCell ref="S23:U23"/>
    <mergeCell ref="V23:X23"/>
    <mergeCell ref="B22:F22"/>
    <mergeCell ref="G22:M22"/>
    <mergeCell ref="N22:O22"/>
    <mergeCell ref="P22:Q22"/>
    <mergeCell ref="S22:U22"/>
    <mergeCell ref="V22:X22"/>
    <mergeCell ref="B21:F21"/>
    <mergeCell ref="G21:M21"/>
    <mergeCell ref="N21:O21"/>
    <mergeCell ref="P21:Q21"/>
    <mergeCell ref="S21:U21"/>
    <mergeCell ref="V21:X21"/>
    <mergeCell ref="B20:F20"/>
    <mergeCell ref="G20:M20"/>
    <mergeCell ref="N20:O20"/>
    <mergeCell ref="P20:Q20"/>
    <mergeCell ref="S20:U20"/>
    <mergeCell ref="V20:X20"/>
    <mergeCell ref="B19:F19"/>
    <mergeCell ref="G19:M19"/>
    <mergeCell ref="N19:O19"/>
    <mergeCell ref="P19:Q19"/>
    <mergeCell ref="S19:U19"/>
    <mergeCell ref="V19:X19"/>
    <mergeCell ref="B18:F18"/>
    <mergeCell ref="G18:M18"/>
    <mergeCell ref="N18:O18"/>
    <mergeCell ref="P18:Q18"/>
    <mergeCell ref="S18:U18"/>
    <mergeCell ref="V18:X18"/>
    <mergeCell ref="B17:F17"/>
    <mergeCell ref="G17:M17"/>
    <mergeCell ref="N17:O17"/>
    <mergeCell ref="P17:Q17"/>
    <mergeCell ref="S17:U17"/>
    <mergeCell ref="V17:X17"/>
    <mergeCell ref="B16:F16"/>
    <mergeCell ref="G16:M16"/>
    <mergeCell ref="N16:O16"/>
    <mergeCell ref="P16:Q16"/>
    <mergeCell ref="S16:U16"/>
    <mergeCell ref="V16:X16"/>
    <mergeCell ref="B15:F15"/>
    <mergeCell ref="G15:M15"/>
    <mergeCell ref="N15:O15"/>
    <mergeCell ref="P15:Q15"/>
    <mergeCell ref="S15:U15"/>
    <mergeCell ref="V15:X15"/>
    <mergeCell ref="A11:Y11"/>
    <mergeCell ref="B12:F12"/>
    <mergeCell ref="G12:M12"/>
    <mergeCell ref="N12:O12"/>
    <mergeCell ref="P12:Q12"/>
    <mergeCell ref="S12:U12"/>
    <mergeCell ref="V12:X12"/>
    <mergeCell ref="B14:F14"/>
    <mergeCell ref="G14:M14"/>
    <mergeCell ref="N14:O14"/>
    <mergeCell ref="P14:Q14"/>
    <mergeCell ref="S14:U14"/>
    <mergeCell ref="V14:X14"/>
    <mergeCell ref="B13:F13"/>
    <mergeCell ref="G13:M13"/>
    <mergeCell ref="N13:O13"/>
    <mergeCell ref="P13:Q13"/>
    <mergeCell ref="S13:U13"/>
    <mergeCell ref="V13:X13"/>
    <mergeCell ref="A8:Y8"/>
    <mergeCell ref="A9:A10"/>
    <mergeCell ref="B9:F10"/>
    <mergeCell ref="G9:M10"/>
    <mergeCell ref="N9:Q9"/>
    <mergeCell ref="R9:R10"/>
    <mergeCell ref="S9:X9"/>
    <mergeCell ref="Y9:Y10"/>
    <mergeCell ref="N10:O10"/>
    <mergeCell ref="P10:Q10"/>
    <mergeCell ref="S10:U10"/>
    <mergeCell ref="V10:X10"/>
    <mergeCell ref="A1:H7"/>
    <mergeCell ref="I1:Y2"/>
    <mergeCell ref="I3:Y5"/>
    <mergeCell ref="I6:S6"/>
    <mergeCell ref="T6:V6"/>
    <mergeCell ref="W6:Y6"/>
    <mergeCell ref="I7:S7"/>
    <mergeCell ref="T7:V7"/>
    <mergeCell ref="W7:Y7"/>
  </mergeCells>
  <conditionalFormatting sqref="I3 I1:Y2">
    <cfRule type="cellIs" dxfId="4" priority="5" stopIfTrue="1" operator="equal">
      <formula>"CLIENTE"</formula>
    </cfRule>
  </conditionalFormatting>
  <conditionalFormatting sqref="I3:Y4">
    <cfRule type="cellIs" dxfId="3" priority="4" stopIfTrue="1" operator="equal">
      <formula>"EQUIPAMENTO"</formula>
    </cfRule>
  </conditionalFormatting>
  <conditionalFormatting sqref="F7 D6 I3 I1">
    <cfRule type="cellIs" dxfId="2" priority="3" stopIfTrue="1" operator="equal">
      <formula>""</formula>
    </cfRule>
  </conditionalFormatting>
  <conditionalFormatting sqref="D6 Y6 I3 I1 N6:V6">
    <cfRule type="cellIs" dxfId="1" priority="2" stopIfTrue="1" operator="equal">
      <formula>"880............."</formula>
    </cfRule>
  </conditionalFormatting>
  <conditionalFormatting sqref="Y6">
    <cfRule type="cellIs" dxfId="0" priority="1" stopIfTrue="1" operator="equal">
      <formula>"x"</formula>
    </cfRule>
  </conditionalFormatting>
  <pageMargins left="0.59055118110236227" right="0.59055118110236227" top="0.78740157480314965" bottom="0.78740157480314965" header="0" footer="0.51181102362204722"/>
  <pageSetup paperSize="9" scale="90" orientation="portrait" r:id="rId1"/>
  <headerFooter alignWithMargins="0">
    <oddFooter>&amp;C&amp;F - &amp;A&amp;RPag.: &amp;P de &amp;N&amp;L&amp;D - &amp;T
&amp;K808080&amp;"Trebuchet MS"CLASSIFICAÇÃO DO DOCUMENTO: INTERNO</oddFooter>
  </headerFooter>
  <drawing r:id="rId2"/>
  <legacyDrawingHF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 
</file>

<file path=customXml/item3.xml><?xml version="1.0" encoding="utf-8"?>
<p:properties xmlns:p="http://schemas.microsoft.com/office/2006/metadata/properties" xmlns:xsi="http://www.w3.org/2001/XMLSchema-instance" xmlns:pc="http://schemas.microsoft.com/office/infopath/2007/PartnerControls">
  <documentManagement>
    <TaxCatchAll xmlns="e6d409bf-ae9f-401b-9893-419de947d53d" xsi:nil="true"/>
    <lcf76f155ced4ddcb4097134ff3c332f xmlns="d2aced48-b00e-4713-854a-6dd31ed0893c">
      <Terms xmlns="http://schemas.microsoft.com/office/infopath/2007/PartnerControls"/>
    </lcf76f155ced4ddcb4097134ff3c332f>
  </documentManagement>
</p:properties>
</file>

<file path=customXml/item4.xml><?xml version="1.0" encoding="utf-8"?>
<ct:contentTypeSchema xmlns:ct="http://schemas.microsoft.com/office/2006/metadata/contentType" xmlns:ma="http://schemas.microsoft.com/office/2006/metadata/properties/metaAttributes" ct:_="" ma:_="" ma:contentTypeName="Dokument" ma:contentTypeID="0x0101008C87578B76DDF1479B04DABFA8ACCC08" ma:contentTypeVersion="18" ma:contentTypeDescription="Ein neues Dokument erstellen." ma:contentTypeScope="" ma:versionID="fcd9d5012d69fa6c6bd5b2b737701068">
  <xsd:schema xmlns:xsd="http://www.w3.org/2001/XMLSchema" xmlns:xs="http://www.w3.org/2001/XMLSchema" xmlns:p="http://schemas.microsoft.com/office/2006/metadata/properties" xmlns:ns2="d2aced48-b00e-4713-854a-6dd31ed0893c" xmlns:ns3="e6d409bf-ae9f-401b-9893-419de947d53d" targetNamespace="http://schemas.microsoft.com/office/2006/metadata/properties" ma:root="true" ma:fieldsID="f9fb6b2a1a44ab6013fd4a294a24c819" ns2:_="" ns3:_="">
    <xsd:import namespace="d2aced48-b00e-4713-854a-6dd31ed0893c"/>
    <xsd:import namespace="e6d409bf-ae9f-401b-9893-419de947d53d"/>
    <xsd:element name="properties">
      <xsd:complexType>
        <xsd:sequence>
          <xsd:element name="documentManagement">
            <xsd:complexType>
              <xsd:all>
                <xsd:element ref="ns2:MediaServiceMetadata" minOccurs="0"/>
                <xsd:element ref="ns2:MediaServiceFastMetadata" minOccurs="0"/>
                <xsd:element ref="ns2:lcf76f155ced4ddcb4097134ff3c332f" minOccurs="0"/>
                <xsd:element ref="ns3:TaxCatchAll" minOccurs="0"/>
                <xsd:element ref="ns2:MediaServiceDateTaken" minOccurs="0"/>
                <xsd:element ref="ns2:MediaServiceGenerationTime" minOccurs="0"/>
                <xsd:element ref="ns2:MediaServiceEventHashCode" minOccurs="0"/>
                <xsd:element ref="ns2:MediaServiceOCR" minOccurs="0"/>
                <xsd:element ref="ns3:SharedWithUsers" minOccurs="0"/>
                <xsd:element ref="ns3:SharedWithDetails" minOccurs="0"/>
                <xsd:element ref="ns2:MediaLengthInSeconds" minOccurs="0"/>
                <xsd:element ref="ns2:MediaServiceObjectDetectorVersions" minOccurs="0"/>
                <xsd:element ref="ns2:MediaServiceLocation"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2aced48-b00e-4713-854a-6dd31ed0893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1" nillable="true" ma:taxonomy="true" ma:internalName="lcf76f155ced4ddcb4097134ff3c332f" ma:taxonomyFieldName="MediaServiceImageTags" ma:displayName="Bildmarkierungen" ma:readOnly="false" ma:fieldId="{5cf76f15-5ced-4ddc-b409-7134ff3c332f}" ma:taxonomyMulti="true" ma:sspId="c39f2f88-c28d-410f-855d-f0776c0d3039" ma:termSetId="09814cd3-568e-fe90-9814-8d621ff8fb84" ma:anchorId="fba54fb3-c3e1-fe81-a776-ca4b69148c4d" ma:open="true" ma:isKeyword="false">
      <xsd:complexType>
        <xsd:sequence>
          <xsd:element ref="pc:Terms" minOccurs="0" maxOccurs="1"/>
        </xsd:sequence>
      </xsd:complexType>
    </xsd:element>
    <xsd:element name="MediaServiceDateTaken" ma:index="13" nillable="true" ma:displayName="MediaServiceDateTaken" ma:hidden="true" ma:internalName="MediaServiceDateTaken"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LengthInSeconds" ma:index="19" nillable="true" ma:displayName="MediaLengthInSeconds" ma:hidden="true" ma:internalName="MediaLengthInSeconds" ma:readOnly="true">
      <xsd:simpleType>
        <xsd:restriction base="dms:Unknown"/>
      </xsd:simpleType>
    </xsd:element>
    <xsd:element name="MediaServiceObjectDetectorVersions" ma:index="20" nillable="true" ma:displayName="MediaServiceObjectDetectorVersions" ma:hidden="true" ma:indexed="true" ma:internalName="MediaServiceObjectDetectorVersions" ma:readOnly="true">
      <xsd:simpleType>
        <xsd:restriction base="dms:Text"/>
      </xsd:simpleType>
    </xsd:element>
    <xsd:element name="MediaServiceLocation" ma:index="21" nillable="true" ma:displayName="Location" ma:indexed="true" ma:internalName="MediaServiceLocation"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e6d409bf-ae9f-401b-9893-419de947d53d" elementFormDefault="qualified">
    <xsd:import namespace="http://schemas.microsoft.com/office/2006/documentManagement/types"/>
    <xsd:import namespace="http://schemas.microsoft.com/office/infopath/2007/PartnerControls"/>
    <xsd:element name="TaxCatchAll" ma:index="12" nillable="true" ma:displayName="Taxonomy Catch All Column" ma:hidden="true" ma:list="{f811fe71-4d63-4e5a-a8a0-d951852eb515}" ma:internalName="TaxCatchAll" ma:showField="CatchAllData" ma:web="e6d409bf-ae9f-401b-9893-419de947d53d">
      <xsd:complexType>
        <xsd:complexContent>
          <xsd:extension base="dms:MultiChoiceLookup">
            <xsd:sequence>
              <xsd:element name="Value" type="dms:Lookup" maxOccurs="unbounded" minOccurs="0" nillable="true"/>
            </xsd:sequence>
          </xsd:extension>
        </xsd:complexContent>
      </xsd:complexType>
    </xsd:element>
    <xsd:element name="SharedWithUsers" ma:index="17"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Freigegeben für -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4DF9B01-EDD4-43A0-8D55-4980E2F2FE5F}">
  <ds:schemaRefs>
    <ds:schemaRef ds:uri="http://schemas.microsoft.com/sharepoint/v3/contenttype/forms"/>
  </ds:schemaRefs>
</ds:datastoreItem>
</file>

<file path=customXml/itemProps2.xml><?xml version="1.0" encoding="utf-8"?>
<ds:datastoreItem xmlns:ds="http://schemas.openxmlformats.org/officeDocument/2006/customXml" ds:itemID="{8D82B5C6-E8DF-4F5F-A78C-4EB4B1A28595}">
  <ds:schemaRefs>
    <ds:schemaRef ds:uri="http://schemas.microsoft.com/DataMashup"/>
  </ds:schemaRefs>
</ds:datastoreItem>
</file>

<file path=customXml/itemProps3.xml><?xml version="1.0" encoding="utf-8"?>
<ds:datastoreItem xmlns:ds="http://schemas.openxmlformats.org/officeDocument/2006/customXml" ds:itemID="{C6439193-9EC0-4935-9578-3D377C4FCAFA}">
  <ds:schemaRefs>
    <ds:schemaRef ds:uri="d2aced48-b00e-4713-854a-6dd31ed0893c"/>
    <ds:schemaRef ds:uri="http://purl.org/dc/terms/"/>
    <ds:schemaRef ds:uri="http://schemas.microsoft.com/office/2006/documentManagement/types"/>
    <ds:schemaRef ds:uri="http://schemas.microsoft.com/office/2006/metadata/properties"/>
    <ds:schemaRef ds:uri="http://purl.org/dc/elements/1.1/"/>
    <ds:schemaRef ds:uri="http://www.w3.org/XML/1998/namespace"/>
    <ds:schemaRef ds:uri="http://purl.org/dc/dcmitype/"/>
    <ds:schemaRef ds:uri="http://schemas.microsoft.com/office/infopath/2007/PartnerControls"/>
    <ds:schemaRef ds:uri="http://schemas.openxmlformats.org/package/2006/metadata/core-properties"/>
    <ds:schemaRef ds:uri="e6d409bf-ae9f-401b-9893-419de947d53d"/>
  </ds:schemaRefs>
</ds:datastoreItem>
</file>

<file path=customXml/itemProps4.xml><?xml version="1.0" encoding="utf-8"?>
<ds:datastoreItem xmlns:ds="http://schemas.openxmlformats.org/officeDocument/2006/customXml" ds:itemID="{B5AF4FD0-5D16-4B95-9CA5-C629ECE5CE4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2aced48-b00e-4713-854a-6dd31ed0893c"/>
    <ds:schemaRef ds:uri="e6d409bf-ae9f-401b-9893-419de947d53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14</vt:i4>
      </vt:variant>
      <vt:variant>
        <vt:lpstr>Intervalos Nomeados</vt:lpstr>
      </vt:variant>
      <vt:variant>
        <vt:i4>10</vt:i4>
      </vt:variant>
    </vt:vector>
  </HeadingPairs>
  <TitlesOfParts>
    <vt:vector size="24" baseType="lpstr">
      <vt:lpstr>Unidades</vt:lpstr>
      <vt:lpstr>Aplicação do Concreto</vt:lpstr>
      <vt:lpstr>Densidades</vt:lpstr>
      <vt:lpstr>Formatos</vt:lpstr>
      <vt:lpstr>Memória TOTAL</vt:lpstr>
      <vt:lpstr>Recomendadas TOTAL</vt:lpstr>
      <vt:lpstr>FRONT SHEET</vt:lpstr>
      <vt:lpstr>TOTAL</vt:lpstr>
      <vt:lpstr>OVERALL</vt:lpstr>
      <vt:lpstr>FILTER</vt:lpstr>
      <vt:lpstr>SAP_FINAL</vt:lpstr>
      <vt:lpstr>SAP_COMPILED</vt:lpstr>
      <vt:lpstr>ITEM_REFERENCE</vt:lpstr>
      <vt:lpstr>COMPILED</vt:lpstr>
      <vt:lpstr>COMPILED!Area_de_impressao</vt:lpstr>
      <vt:lpstr>'FRONT SHEET'!Area_de_impressao</vt:lpstr>
      <vt:lpstr>'Memória TOTAL'!Area_de_impressao</vt:lpstr>
      <vt:lpstr>OVERALL!Area_de_impressao</vt:lpstr>
      <vt:lpstr>TOTAL!Area_de_impressao</vt:lpstr>
      <vt:lpstr>Classif_Descr</vt:lpstr>
      <vt:lpstr>COMPILED!Titulos_de_impressao</vt:lpstr>
      <vt:lpstr>'FRONT SHEET'!Titulos_de_impressao</vt:lpstr>
      <vt:lpstr>OVERALL!Titulos_de_impressao</vt:lpstr>
      <vt:lpstr>TOTAL!Titulos_de_impressao</vt:lpstr>
    </vt:vector>
  </TitlesOfParts>
  <Company>Magnesita S.A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Magnesita S.A</dc:creator>
  <cp:lastModifiedBy>Saulo Borges</cp:lastModifiedBy>
  <cp:lastPrinted>2019-01-18T16:57:33Z</cp:lastPrinted>
  <dcterms:created xsi:type="dcterms:W3CDTF">2009-09-16T19:52:17Z</dcterms:created>
  <dcterms:modified xsi:type="dcterms:W3CDTF">2024-04-25T13:19:49Z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CCulture">
    <vt:lpwstr>pt-BR</vt:lpwstr>
  </property>
  <property fmtid="{D5CDD505-2E9C-101B-9397-08002B2CF9AE}" pid="3" name="SensitivityDescription">
    <vt:lpwstr>CLASSIFICAÇÃO DO DOCUMENTO: INTERNO</vt:lpwstr>
  </property>
  <property fmtid="{D5CDD505-2E9C-101B-9397-08002B2CF9AE}" pid="4" name="MSIP_Label_9ed9df57-6107-465f-b416-456b5ec3294b_Enabled">
    <vt:lpwstr>true</vt:lpwstr>
  </property>
  <property fmtid="{D5CDD505-2E9C-101B-9397-08002B2CF9AE}" pid="5" name="MSIP_Label_9ed9df57-6107-465f-b416-456b5ec3294b_SetDate">
    <vt:lpwstr>2024-03-12T16:09:50Z</vt:lpwstr>
  </property>
  <property fmtid="{D5CDD505-2E9C-101B-9397-08002B2CF9AE}" pid="6" name="MSIP_Label_9ed9df57-6107-465f-b416-456b5ec3294b_Method">
    <vt:lpwstr>Privileged</vt:lpwstr>
  </property>
  <property fmtid="{D5CDD505-2E9C-101B-9397-08002B2CF9AE}" pid="7" name="MSIP_Label_9ed9df57-6107-465f-b416-456b5ec3294b_Name">
    <vt:lpwstr>Public</vt:lpwstr>
  </property>
  <property fmtid="{D5CDD505-2E9C-101B-9397-08002B2CF9AE}" pid="8" name="MSIP_Label_9ed9df57-6107-465f-b416-456b5ec3294b_SiteId">
    <vt:lpwstr>651b43ce-ccb8-4301-b551-b04dd872d401</vt:lpwstr>
  </property>
  <property fmtid="{D5CDD505-2E9C-101B-9397-08002B2CF9AE}" pid="9" name="MSIP_Label_9ed9df57-6107-465f-b416-456b5ec3294b_ActionId">
    <vt:lpwstr>c4df5526-30ff-424a-8bfe-3c9e04bc12f5</vt:lpwstr>
  </property>
  <property fmtid="{D5CDD505-2E9C-101B-9397-08002B2CF9AE}" pid="10" name="MSIP_Label_9ed9df57-6107-465f-b416-456b5ec3294b_ContentBits">
    <vt:lpwstr>0</vt:lpwstr>
  </property>
  <property fmtid="{D5CDD505-2E9C-101B-9397-08002B2CF9AE}" pid="11" name="ContentTypeId">
    <vt:lpwstr>0x0101008C87578B76DDF1479B04DABFA8ACCC08</vt:lpwstr>
  </property>
</Properties>
</file>